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7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2014" sheetId="7" r:id="rId7"/>
    <sheet name="отчет за 2015 год" sheetId="8" r:id="rId8"/>
  </sheets>
  <externalReferences>
    <externalReference r:id="rId11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'Обязат'!$A$1:$H$73</definedName>
    <definedName name="_xlnm.Print_Area" localSheetId="6">'отчет 2014'!$A$1:$F$71</definedName>
    <definedName name="_xlnm.Print_Area" localSheetId="7">'отчет за 2015 год'!$A$1:$G$78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<sst xmlns="http://schemas.openxmlformats.org/spreadsheetml/2006/main" count="1296" uniqueCount="846">
  <si>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</si>
  <si>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</si>
  <si>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</si>
  <si>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</si>
  <si>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</si>
  <si>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</si>
  <si>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</si>
  <si>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</si>
  <si>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</si>
  <si>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</si>
  <si>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</si>
  <si>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</si>
  <si>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</si>
  <si>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</si>
  <si>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</si>
  <si>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</si>
  <si>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</si>
  <si>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</si>
  <si>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</si>
  <si>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</si>
  <si>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</si>
  <si>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</si>
  <si>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</si>
  <si>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</si>
  <si>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</si>
  <si>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</si>
  <si>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</si>
  <si>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</si>
  <si>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</si>
  <si>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</si>
  <si>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</si>
  <si>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</si>
  <si>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</si>
  <si>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</si>
  <si>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</si>
  <si>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</si>
  <si>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</si>
  <si>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</si>
  <si>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</si>
  <si>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</si>
  <si>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</si>
  <si>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</si>
  <si>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</si>
  <si>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</si>
  <si>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</si>
  <si>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</si>
  <si>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</si>
  <si>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</si>
  <si>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</si>
  <si>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</si>
  <si>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</si>
  <si>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</si>
  <si>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</si>
  <si>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</si>
  <si>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</si>
  <si>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</si>
  <si>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</si>
  <si>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</si>
  <si>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</si>
  <si>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</si>
  <si>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</si>
  <si>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</si>
  <si>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</si>
  <si>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</si>
  <si>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</si>
  <si>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</si>
  <si>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</si>
  <si>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</si>
  <si>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</si>
  <si>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</si>
  <si>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</si>
  <si>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</si>
  <si>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</si>
  <si>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</si>
  <si>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</si>
  <si>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</si>
  <si>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</si>
  <si>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</si>
  <si>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</si>
  <si>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</si>
  <si>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</si>
  <si>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</si>
  <si>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</si>
  <si>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</si>
  <si>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</si>
  <si>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</si>
  <si>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</si>
  <si>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</si>
  <si>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</si>
  <si>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</si>
  <si>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</si>
  <si>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</si>
  <si>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</si>
  <si>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</si>
  <si>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</si>
  <si>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</si>
  <si>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</si>
  <si>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</si>
  <si>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</si>
  <si>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</si>
  <si>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</si>
  <si>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</si>
  <si>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</si>
  <si>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</si>
  <si>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</si>
  <si>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</si>
  <si>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</si>
  <si>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</si>
  <si>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</si>
  <si>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</si>
  <si>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</si>
  <si>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</si>
  <si>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</si>
  <si>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</si>
  <si>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</si>
  <si>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</si>
  <si>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</si>
  <si>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</si>
  <si>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</si>
  <si>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</si>
  <si>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</si>
  <si>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</si>
  <si>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</si>
  <si>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</si>
  <si>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</si>
  <si>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</si>
  <si>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</si>
  <si>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</si>
  <si>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</si>
  <si>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</si>
  <si>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</si>
  <si>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</si>
  <si>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</si>
  <si>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</si>
  <si>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</si>
  <si>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</si>
  <si>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</si>
  <si>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</si>
  <si>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</si>
  <si>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</si>
  <si>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</si>
  <si>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</si>
  <si>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</si>
  <si>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</si>
  <si>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</si>
  <si>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</si>
  <si>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</si>
  <si>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</si>
  <si>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</si>
  <si>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</si>
  <si>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</si>
  <si>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</si>
  <si>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</si>
  <si>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</si>
  <si>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</si>
  <si>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</si>
  <si>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</si>
  <si>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</si>
  <si>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</si>
  <si>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</si>
  <si>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</si>
  <si>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</si>
  <si>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</si>
  <si>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</si>
  <si>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</si>
  <si>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</si>
  <si>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</si>
  <si>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</si>
  <si>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</si>
  <si>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</si>
  <si>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</si>
  <si>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</si>
  <si>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</si>
  <si>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</si>
  <si>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</si>
  <si>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</si>
  <si>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</si>
  <si>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</si>
  <si>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</si>
  <si>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</si>
  <si>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</si>
  <si>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</si>
  <si>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</si>
  <si>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</si>
  <si>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</si>
  <si>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</si>
  <si>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</si>
  <si>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</si>
  <si>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</si>
  <si>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</si>
  <si>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</si>
  <si>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</si>
  <si>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</si>
  <si>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</si>
  <si>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</si>
  <si>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</si>
  <si>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</si>
  <si>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</si>
  <si>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</si>
  <si>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</si>
  <si>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</si>
  <si>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</si>
  <si>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</si>
  <si>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</si>
  <si>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</si>
  <si>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</si>
  <si>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</si>
  <si>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</si>
  <si>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</si>
  <si>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</si>
  <si>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</si>
  <si>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</si>
  <si>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</si>
  <si>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</si>
  <si>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</si>
  <si>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</si>
  <si>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</si>
  <si>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</si>
  <si>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</si>
  <si>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</si>
  <si>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</si>
  <si>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</si>
  <si>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</si>
  <si>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</si>
  <si>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</si>
  <si>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</si>
  <si>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</si>
  <si>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</si>
  <si>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</si>
  <si>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</si>
  <si>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</si>
  <si>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</si>
  <si>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</si>
  <si>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</si>
  <si>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</si>
  <si>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</si>
  <si>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</si>
  <si>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</si>
  <si>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</si>
  <si>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</si>
  <si>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</si>
  <si>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</si>
  <si>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</si>
  <si>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</si>
  <si>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</si>
  <si>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</si>
  <si>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</si>
  <si>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</si>
  <si>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</si>
  <si>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</si>
  <si>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</si>
  <si>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</si>
  <si>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</si>
  <si>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</si>
  <si>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</si>
  <si>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</si>
  <si>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</si>
  <si>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</si>
  <si>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</si>
  <si>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</si>
  <si>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</si>
  <si>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</si>
  <si>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</si>
  <si>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</si>
  <si>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</si>
  <si>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</si>
  <si>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</si>
  <si>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</si>
  <si>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</si>
  <si>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</si>
  <si>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</si>
  <si>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</si>
  <si>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</si>
  <si>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</si>
  <si>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</si>
  <si>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</si>
  <si>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</si>
  <si>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</si>
  <si>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</si>
  <si>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</si>
  <si>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</si>
  <si>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</si>
  <si>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</si>
  <si>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</si>
  <si>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</si>
  <si>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</si>
  <si>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</si>
  <si>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</si>
  <si>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</si>
  <si>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</si>
  <si>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</si>
  <si>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</si>
  <si>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</si>
  <si>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</si>
  <si>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</si>
  <si>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</si>
  <si>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</si>
  <si>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</si>
  <si>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</si>
  <si>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</si>
  <si>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</si>
  <si>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</si>
  <si>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</si>
  <si>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</si>
  <si>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</si>
  <si>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</si>
  <si>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</si>
  <si>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</si>
  <si>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</si>
  <si>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</si>
  <si>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</si>
  <si>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</si>
  <si>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</si>
  <si>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</si>
  <si>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</si>
  <si>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</si>
  <si>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</si>
  <si>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</si>
  <si>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</si>
  <si>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</si>
  <si>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</si>
  <si>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</si>
  <si>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</si>
  <si>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</si>
  <si>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</si>
  <si>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</si>
  <si>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</si>
  <si>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</si>
  <si>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</si>
  <si>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</si>
  <si>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</si>
  <si>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</si>
  <si>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</si>
  <si>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</si>
  <si>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</si>
  <si>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</si>
  <si>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</si>
  <si>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</si>
  <si>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</si>
  <si>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</si>
  <si>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</si>
  <si>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</si>
  <si>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</si>
  <si>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</si>
  <si>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</si>
  <si>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</si>
  <si>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</si>
  <si>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</si>
  <si>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</si>
  <si>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</si>
  <si>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</si>
  <si>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</si>
  <si>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</si>
  <si>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</si>
  <si>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</si>
  <si>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</si>
  <si>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</si>
  <si>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</si>
  <si>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</si>
  <si>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</si>
  <si>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</si>
  <si>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</si>
  <si>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</si>
  <si>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</si>
  <si>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</si>
  <si>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</si>
  <si>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</si>
  <si>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</si>
  <si>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</si>
  <si>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</si>
  <si>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</si>
  <si>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</si>
  <si>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</si>
  <si>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</si>
  <si>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</si>
  <si>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</si>
  <si>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</si>
  <si>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</si>
  <si>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</si>
  <si>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</si>
  <si>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</si>
  <si>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</si>
  <si>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</si>
  <si>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</si>
  <si>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</si>
  <si>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</si>
  <si>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</si>
  <si>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</si>
  <si>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</si>
  <si>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</si>
  <si>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</si>
  <si>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</si>
  <si>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</si>
  <si>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</si>
  <si>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</si>
  <si>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</si>
  <si>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</si>
  <si>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</si>
  <si>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</si>
  <si>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</si>
  <si>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</si>
  <si>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</si>
  <si>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</si>
  <si>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</si>
  <si>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</si>
  <si>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</si>
  <si>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</si>
  <si>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</si>
  <si>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</si>
  <si>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</si>
  <si>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</si>
  <si>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</si>
  <si>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</si>
  <si>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</si>
  <si>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</si>
  <si>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</si>
  <si>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</si>
  <si>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</si>
  <si>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</si>
  <si>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</si>
  <si>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</si>
  <si>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</si>
  <si>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</si>
  <si>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</si>
  <si>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</si>
  <si>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</si>
  <si>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</si>
  <si>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</si>
  <si>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</si>
  <si>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</si>
  <si>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</si>
  <si>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</si>
  <si>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</si>
  <si>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</si>
  <si>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</si>
  <si>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</si>
  <si>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</si>
  <si>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</si>
  <si>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</si>
  <si>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</si>
  <si>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</si>
  <si>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</si>
  <si>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</si>
  <si>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</si>
  <si>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</si>
  <si>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</si>
  <si>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</si>
  <si>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</si>
  <si>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</si>
  <si>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</si>
  <si>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</si>
  <si>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</si>
  <si>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</si>
  <si>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</si>
  <si>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</si>
  <si>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</si>
  <si>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</si>
  <si>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</si>
  <si>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</si>
  <si>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</si>
  <si>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</si>
  <si>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</si>
  <si>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</si>
  <si>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</si>
  <si>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</si>
  <si>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</si>
  <si>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</si>
  <si>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</si>
  <si>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</si>
  <si>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</si>
  <si>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</si>
  <si>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</si>
  <si>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</si>
  <si>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</si>
  <si>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</si>
  <si>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</si>
  <si>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</si>
  <si>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</si>
  <si>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</si>
  <si>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</si>
  <si>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</si>
  <si>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</si>
  <si>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</si>
  <si>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</si>
  <si>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</si>
  <si>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</si>
  <si>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</si>
  <si>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</si>
  <si>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</si>
  <si>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</si>
  <si>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</si>
  <si>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</si>
  <si>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</si>
  <si>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</si>
  <si>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</si>
  <si>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</si>
  <si>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</si>
  <si>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</si>
  <si>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</si>
  <si>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</si>
  <si>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</si>
  <si>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</si>
  <si>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</si>
  <si>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</si>
  <si>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</si>
  <si>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</si>
  <si>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</si>
  <si>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</si>
  <si>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</si>
  <si>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</si>
  <si>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</si>
  <si>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</si>
  <si>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</si>
  <si>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</si>
  <si>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</si>
  <si>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</si>
  <si>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</si>
  <si>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</si>
  <si>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</si>
  <si>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</si>
  <si>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</si>
  <si>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</si>
  <si>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</si>
  <si>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</si>
  <si>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</si>
  <si>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</si>
  <si>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</si>
  <si>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</si>
  <si>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</si>
  <si>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</si>
  <si>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</si>
  <si>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</si>
  <si>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</si>
  <si>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</si>
  <si>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</si>
  <si>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</si>
  <si>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</si>
  <si>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</si>
  <si>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</si>
  <si>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</si>
  <si>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</si>
  <si>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</si>
  <si>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</si>
  <si>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</si>
  <si>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</si>
  <si>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</si>
  <si>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</si>
  <si>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</si>
  <si>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</si>
  <si>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</si>
  <si>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</si>
  <si>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</si>
  <si>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</si>
  <si>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</si>
  <si>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</si>
  <si>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</si>
  <si>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</si>
  <si>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</si>
  <si>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</si>
  <si>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</si>
  <si>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</si>
  <si>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</si>
  <si>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</si>
  <si>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</si>
  <si>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</si>
  <si>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</si>
  <si>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</si>
  <si>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</si>
  <si>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</si>
  <si>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</si>
  <si>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</si>
  <si>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</si>
  <si>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</si>
  <si>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</si>
  <si>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</si>
  <si>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</si>
  <si>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</si>
  <si>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</si>
  <si>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</si>
  <si>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</si>
  <si>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</si>
  <si>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</si>
  <si>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</si>
  <si>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</si>
  <si>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</si>
  <si>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</si>
  <si>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</si>
  <si>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</si>
  <si>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</si>
  <si>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</si>
  <si>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</si>
  <si>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</si>
  <si>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</si>
  <si>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</si>
  <si>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</si>
  <si>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</si>
  <si>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</si>
  <si>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</si>
  <si>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</si>
  <si>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</si>
  <si>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</si>
  <si>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</si>
  <si>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</si>
  <si>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</si>
  <si>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</si>
  <si>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</si>
  <si>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</si>
  <si>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</si>
  <si>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</si>
  <si>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</si>
  <si>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</si>
  <si>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</si>
  <si>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</si>
  <si>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</si>
  <si>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</si>
  <si>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</si>
  <si>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</si>
  <si>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</si>
  <si>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</si>
  <si>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</si>
  <si>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</si>
  <si>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</si>
  <si>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</si>
  <si>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</si>
  <si>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</si>
  <si>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</si>
  <si>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</si>
  <si>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</si>
  <si>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</si>
  <si>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</si>
  <si>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</si>
  <si>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</si>
  <si>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</si>
  <si>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</si>
  <si>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</si>
  <si>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</si>
  <si>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</si>
  <si>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</si>
  <si>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</si>
  <si>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</si>
  <si>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</si>
  <si>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</si>
  <si>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</si>
  <si>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</si>
  <si>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</si>
  <si>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</si>
  <si>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</si>
  <si>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</si>
  <si>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</si>
  <si>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</si>
  <si>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</si>
  <si>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</si>
  <si>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</si>
  <si>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</si>
  <si>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</si>
  <si>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</si>
  <si>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</si>
  <si>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</si>
  <si>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</si>
  <si>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</si>
  <si>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</si>
  <si>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</si>
  <si>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</si>
  <si>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</si>
  <si>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</si>
  <si>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</si>
  <si>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</si>
  <si>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</si>
  <si>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</si>
  <si>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</si>
  <si>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</si>
  <si>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</si>
  <si>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</si>
  <si>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</si>
  <si>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</si>
  <si>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</si>
  <si>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</si>
  <si>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</si>
  <si>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</si>
  <si>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</si>
  <si>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</si>
  <si>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</si>
  <si>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</si>
  <si>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</si>
  <si>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</si>
  <si>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</si>
  <si>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</si>
  <si>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</si>
  <si>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</si>
  <si>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</si>
  <si>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</si>
  <si>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</si>
  <si>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</si>
  <si>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</si>
  <si>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</si>
  <si>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</si>
  <si>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</si>
  <si>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</si>
  <si>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</si>
  <si>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</si>
  <si>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</si>
  <si>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</si>
  <si>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</si>
  <si>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</si>
  <si>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</si>
  <si>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</si>
  <si>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</si>
  <si>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</si>
  <si>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</si>
  <si>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</si>
  <si>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</si>
  <si>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</si>
  <si>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</si>
  <si>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</si>
  <si>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</si>
  <si>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</si>
  <si>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</si>
  <si>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</si>
  <si>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</si>
  <si>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</si>
  <si>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</si>
  <si>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</si>
  <si>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</si>
  <si>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</si>
  <si>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</si>
  <si>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</si>
  <si>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</si>
  <si>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</si>
  <si>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 xml:space="preserve"> - 3,3т.р.</t>
  </si>
  <si>
    <t xml:space="preserve"> - 718 руб.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</si>
  <si>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</si>
  <si>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</si>
  <si>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</si>
  <si>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</si>
  <si>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</si>
  <si>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</si>
  <si>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</si>
  <si>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</si>
  <si>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</si>
  <si>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</si>
  <si>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</si>
  <si>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</si>
  <si>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</si>
  <si>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</si>
  <si>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</si>
  <si>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</si>
  <si>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</si>
  <si>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</si>
  <si>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</si>
  <si>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</si>
  <si>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</si>
  <si>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</si>
  <si>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</si>
  <si>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>2.1.7.</t>
  </si>
  <si>
    <t>1.7.</t>
  </si>
  <si>
    <t xml:space="preserve">Влажное подметание лестничных площадок и маршей нижних двух этажей   </t>
  </si>
  <si>
    <t>Исходные данные  дома по  пр. Б.Хм.143</t>
  </si>
  <si>
    <t>Санитарное содержание жилых зданий и придомовой территории ж.д.№143</t>
  </si>
  <si>
    <t>Затраты на спецодежду, инвентарь (прик 191, нормы по спецодежде) ж.д. №143по пр. Б. Хмм</t>
  </si>
  <si>
    <t>Стоимость затрат на содержание  внутридомового инженерного оборудования и конструктивных элементов ж.д. 143по пр. Б. Хм.</t>
  </si>
  <si>
    <t>Сводная таблица "Содержание жилого дома по  видам работ" №143 по пр. Б. Хмельницкого</t>
  </si>
  <si>
    <t>Перечень работ и услуг по содержанию и текущему ремонту общего имущества многоквартирного дома по адресу: пр. Б. Хмельницкого,143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</si>
  <si>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</si>
  <si>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По мере  необходимости и постоянно</t>
  </si>
  <si>
    <t>5.2.</t>
  </si>
  <si>
    <t xml:space="preserve">Влажное подметание лестн. площ. и маршей  выше второго этажа   </t>
  </si>
  <si>
    <t>3.2.</t>
  </si>
  <si>
    <t>3.7.</t>
  </si>
  <si>
    <t>Прочистка лежаков и стояков канализации</t>
  </si>
  <si>
    <t>з/п</t>
  </si>
  <si>
    <t>фонд</t>
  </si>
  <si>
    <t>мат</t>
  </si>
  <si>
    <t>1 раза в год</t>
  </si>
  <si>
    <t>с 01.07.14г.-9,91</t>
  </si>
  <si>
    <t>Без ОДН- 9,60</t>
  </si>
  <si>
    <t>Администрация ООО "Управляющая компания РЭУ №6"</t>
  </si>
  <si>
    <t>отчисл. на соц. нужды</t>
  </si>
  <si>
    <t>Задолженность по квартплате дома №143 по пр-ту Б.Хмельницкого на 01.01.2015 г  3880,97  руб.</t>
  </si>
  <si>
    <t>зар. плата АУП</t>
  </si>
  <si>
    <t>Содержание АУП</t>
  </si>
  <si>
    <r>
      <t xml:space="preserve">Задолженность по квартплате дома №143 по пр-ту Б.Хмельницкого на 01.01.2013 г  </t>
    </r>
    <r>
      <rPr>
        <b/>
        <sz val="8"/>
        <rFont val="Arial Cyr"/>
        <family val="0"/>
      </rPr>
      <t>16507,68</t>
    </r>
    <r>
      <rPr>
        <sz val="8"/>
        <rFont val="Arial Cyr"/>
        <family val="0"/>
      </rPr>
      <t xml:space="preserve">  руб.</t>
    </r>
  </si>
  <si>
    <t>Финансовый результат</t>
  </si>
  <si>
    <t>ИТОГО РАСХОДОВ:</t>
  </si>
  <si>
    <t>Внеэсплуатационные  расходы</t>
  </si>
  <si>
    <t>Общеэксплуатационные  расходы</t>
  </si>
  <si>
    <t>Прочие - услуги   РРКЦ</t>
  </si>
  <si>
    <t>Проверка тех. Состояния ВК иДХ</t>
  </si>
  <si>
    <t>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</si>
  <si>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</si>
  <si>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</si>
  <si>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Услуги сторонних организаций -всего, в т. ч.</t>
  </si>
  <si>
    <t>Электроэнергия</t>
  </si>
  <si>
    <t xml:space="preserve">  вывоз КГМ</t>
  </si>
  <si>
    <t>материалы</t>
  </si>
  <si>
    <t>отчисл. на соц. Нужды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</si>
  <si>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</si>
  <si>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</si>
  <si>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</si>
  <si>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прочие расходы</t>
  </si>
  <si>
    <t xml:space="preserve">отчисл. на соц. нужды </t>
  </si>
  <si>
    <t>Ремонт конструктивных элементов</t>
  </si>
  <si>
    <t>сантехнические работы</t>
  </si>
  <si>
    <t>Ремонт внутридомового инженерного оборудования</t>
  </si>
  <si>
    <t>Расходы:</t>
  </si>
  <si>
    <t>Платежи населения</t>
  </si>
  <si>
    <t>с 01.09.14г-9,6</t>
  </si>
  <si>
    <t>Доходы</t>
  </si>
  <si>
    <t>с 01.07.14г-9,91</t>
  </si>
  <si>
    <t>Долг</t>
  </si>
  <si>
    <t>Факт 2014 года</t>
  </si>
  <si>
    <t>План 2014 года</t>
  </si>
  <si>
    <r>
      <t xml:space="preserve">Ст-ть 1 м </t>
    </r>
    <r>
      <rPr>
        <sz val="8"/>
        <color indexed="10"/>
        <rFont val="Arial"/>
        <family val="2"/>
      </rPr>
      <t>² руб.с 01.01.14г-9,33</t>
    </r>
  </si>
  <si>
    <t>Статьи затрат</t>
  </si>
  <si>
    <t>№ п/п</t>
  </si>
  <si>
    <t xml:space="preserve">      тыс. руб.</t>
  </si>
  <si>
    <r>
      <t xml:space="preserve"> </t>
    </r>
    <r>
      <rPr>
        <sz val="8"/>
        <color indexed="10"/>
        <rFont val="Arial Cyr"/>
        <family val="0"/>
      </rPr>
      <t xml:space="preserve">Количетво квартир  -24 шт. Количество чел -  59 чел.  Собственность в %: муницип. -12,5%  собственн. -87,5%  </t>
    </r>
  </si>
  <si>
    <t xml:space="preserve">Характеристика жилого дома :         год строительства  -  1961г.,          общая площадь квартир  -1104,1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</si>
  <si>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143 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</si>
  <si>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</si>
  <si>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</si>
  <si>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2014 год.</t>
  </si>
  <si>
    <t>Задолженность по квартплате дома №143 по пр-ту Б.Хмельницкого на 01.01.2016 г     (-3088,61) руб.</t>
  </si>
  <si>
    <t>Финансовый результат положит.</t>
  </si>
  <si>
    <t>цементир. тротуара возле колодца</t>
  </si>
  <si>
    <t>закрытие слуховых окон</t>
  </si>
  <si>
    <t>Прочее :</t>
  </si>
  <si>
    <t xml:space="preserve"> Прочие , в т. ч.</t>
  </si>
  <si>
    <t>Имуществ. налоги</t>
  </si>
  <si>
    <t>Аренда муницип.помещения</t>
  </si>
  <si>
    <t>Услуги сторонних организций</t>
  </si>
  <si>
    <t xml:space="preserve"> Услуги   РРКЦ+ услуги банков</t>
  </si>
  <si>
    <t>Электроэнергия(затр. на пред. услуги</t>
  </si>
  <si>
    <t xml:space="preserve">отчисл. на страховые взносы </t>
  </si>
  <si>
    <t>Содержание АУП, в т. ч.</t>
  </si>
  <si>
    <t>Прочее по осн. произ-ву</t>
  </si>
  <si>
    <t>электротехнические работы</t>
  </si>
  <si>
    <t>Ремонт внутридомового инженерного оборудования, в т. ч.</t>
  </si>
  <si>
    <t>с 01.07.15г-10,61</t>
  </si>
  <si>
    <t>с 01.09.14г-9,60</t>
  </si>
  <si>
    <t>Факт 2015 года</t>
  </si>
  <si>
    <t>План 2015 года</t>
  </si>
  <si>
    <r>
      <t xml:space="preserve">Ст-ть 1 м </t>
    </r>
    <r>
      <rPr>
        <sz val="8"/>
        <color indexed="10"/>
        <rFont val="Arial"/>
        <family val="2"/>
      </rPr>
      <t>² руб.</t>
    </r>
  </si>
  <si>
    <t xml:space="preserve">   ( руб.)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</si>
  <si>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-24 шт. Количество чел -  59 чел.  Собственность в %: муницип. -8,3%  собственн. -91,67%  </t>
    </r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</si>
  <si>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143        по пр. Б. Хмельницкого</t>
    </r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</si>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</sst>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49" fontId="27" fillId="0" borderId="66" xfId="0" applyNumberFormat="1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wrapText="1"/>
    </xf>
    <xf numFmtId="170" fontId="31" fillId="0" borderId="57" xfId="0" applyNumberFormat="1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0" fontId="31" fillId="36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0" fillId="41" borderId="0" xfId="0" applyFill="1" applyAlignment="1">
      <alignment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80" fillId="41" borderId="10" xfId="0" applyFont="1" applyFill="1" applyBorder="1" applyAlignment="1">
      <alignment/>
    </xf>
    <xf numFmtId="2" fontId="80" fillId="41" borderId="10" xfId="0" applyNumberFormat="1" applyFont="1" applyFill="1" applyBorder="1" applyAlignment="1">
      <alignment/>
    </xf>
    <xf numFmtId="0" fontId="0" fillId="44" borderId="10" xfId="0" applyFill="1" applyBorder="1" applyAlignment="1">
      <alignment/>
    </xf>
    <xf numFmtId="2" fontId="0" fillId="41" borderId="10" xfId="0" applyNumberFormat="1" applyFill="1" applyBorder="1" applyAlignment="1">
      <alignment/>
    </xf>
    <xf numFmtId="2" fontId="0" fillId="44" borderId="10" xfId="0" applyNumberFormat="1" applyFill="1" applyBorder="1" applyAlignment="1">
      <alignment/>
    </xf>
    <xf numFmtId="0" fontId="0" fillId="44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2" fontId="41" fillId="41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41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8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2" fontId="80" fillId="36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2" fillId="0" borderId="0" xfId="0" applyFont="1" applyAlignment="1">
      <alignment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1" fillId="0" borderId="10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2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1" fillId="41" borderId="10" xfId="0" applyFont="1" applyFill="1" applyBorder="1" applyAlignment="1">
      <alignment horizontal="left"/>
    </xf>
    <xf numFmtId="0" fontId="8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80" fillId="41" borderId="0" xfId="0" applyFont="1" applyFill="1" applyBorder="1" applyAlignment="1">
      <alignment/>
    </xf>
    <xf numFmtId="0" fontId="1" fillId="0" borderId="50" xfId="0" applyFont="1" applyBorder="1" applyAlignment="1">
      <alignment/>
    </xf>
    <xf numFmtId="0" fontId="80" fillId="44" borderId="10" xfId="0" applyFont="1" applyFill="1" applyBorder="1" applyAlignment="1">
      <alignment/>
    </xf>
    <xf numFmtId="0" fontId="81" fillId="44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2" fontId="41" fillId="41" borderId="10" xfId="0" applyNumberFormat="1" applyFont="1" applyFill="1" applyBorder="1" applyAlignment="1">
      <alignment/>
    </xf>
    <xf numFmtId="0" fontId="80" fillId="36" borderId="10" xfId="0" applyFont="1" applyFill="1" applyBorder="1" applyAlignment="1">
      <alignment/>
    </xf>
    <xf numFmtId="2" fontId="81" fillId="41" borderId="10" xfId="0" applyNumberFormat="1" applyFont="1" applyFill="1" applyBorder="1" applyAlignment="1">
      <alignment/>
    </xf>
    <xf numFmtId="2" fontId="81" fillId="36" borderId="10" xfId="0" applyNumberFormat="1" applyFont="1" applyFill="1" applyBorder="1" applyAlignment="1">
      <alignment/>
    </xf>
    <xf numFmtId="0" fontId="80" fillId="0" borderId="10" xfId="0" applyFont="1" applyBorder="1" applyAlignment="1">
      <alignment wrapText="1"/>
    </xf>
    <xf numFmtId="2" fontId="80" fillId="36" borderId="10" xfId="0" applyNumberFormat="1" applyFont="1" applyFill="1" applyBorder="1" applyAlignment="1">
      <alignment wrapText="1"/>
    </xf>
    <xf numFmtId="0" fontId="80" fillId="36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8">
      <selection activeCell="D39" sqref="D39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49" t="s">
        <v>756</v>
      </c>
      <c r="C1" s="949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150</v>
      </c>
      <c r="D3" s="537" t="s">
        <v>484</v>
      </c>
      <c r="E3"/>
      <c r="F3"/>
      <c r="G3"/>
    </row>
    <row r="4" spans="1:7" s="243" customFormat="1" ht="15" customHeight="1" thickBot="1">
      <c r="A4" s="300" t="s">
        <v>86</v>
      </c>
      <c r="B4" s="305" t="s">
        <v>190</v>
      </c>
      <c r="C4" s="300" t="s">
        <v>87</v>
      </c>
      <c r="D4" s="541" t="s">
        <v>71</v>
      </c>
      <c r="E4"/>
      <c r="F4"/>
      <c r="G4"/>
    </row>
    <row r="5" spans="1:7" s="238" customFormat="1" ht="15" customHeight="1">
      <c r="A5" s="124" t="s">
        <v>190</v>
      </c>
      <c r="B5" s="538" t="s">
        <v>263</v>
      </c>
      <c r="C5" s="539" t="s">
        <v>168</v>
      </c>
      <c r="D5" s="540">
        <v>24</v>
      </c>
      <c r="E5"/>
      <c r="F5"/>
      <c r="G5"/>
    </row>
    <row r="6" spans="1:7" s="238" customFormat="1" ht="15" customHeight="1">
      <c r="A6" s="121" t="s">
        <v>87</v>
      </c>
      <c r="B6" s="240" t="s">
        <v>184</v>
      </c>
      <c r="C6" s="382" t="s">
        <v>168</v>
      </c>
      <c r="D6" s="453">
        <v>24</v>
      </c>
      <c r="E6"/>
      <c r="F6"/>
      <c r="G6"/>
    </row>
    <row r="7" spans="1:7" s="238" customFormat="1" ht="15" customHeight="1" thickBot="1">
      <c r="A7" s="249" t="s">
        <v>71</v>
      </c>
      <c r="B7" s="346" t="s">
        <v>185</v>
      </c>
      <c r="C7" s="383" t="s">
        <v>288</v>
      </c>
      <c r="D7" s="454">
        <v>56</v>
      </c>
      <c r="E7"/>
      <c r="F7"/>
      <c r="G7"/>
    </row>
    <row r="8" spans="1:7" s="4" customFormat="1" ht="27.75" customHeight="1" thickBot="1">
      <c r="A8" s="347" t="s">
        <v>72</v>
      </c>
      <c r="B8" s="309" t="s">
        <v>412</v>
      </c>
      <c r="C8" s="315" t="s">
        <v>276</v>
      </c>
      <c r="D8" s="779">
        <f>D9+D10+D11</f>
        <v>1159.5</v>
      </c>
      <c r="E8" s="5"/>
      <c r="F8" s="5"/>
      <c r="G8" s="5"/>
    </row>
    <row r="9" spans="1:8" s="350" customFormat="1" ht="15" customHeight="1">
      <c r="A9" s="124" t="s">
        <v>73</v>
      </c>
      <c r="B9" s="348" t="s">
        <v>64</v>
      </c>
      <c r="C9" s="349" t="s">
        <v>276</v>
      </c>
      <c r="D9" s="557">
        <v>55.4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74</v>
      </c>
      <c r="B10" s="428" t="s">
        <v>411</v>
      </c>
      <c r="C10" s="349" t="s">
        <v>276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75</v>
      </c>
      <c r="B11" s="309" t="s">
        <v>413</v>
      </c>
      <c r="C11" s="310" t="s">
        <v>276</v>
      </c>
      <c r="D11" s="308">
        <f>D12*1</f>
        <v>1104.1</v>
      </c>
      <c r="E11"/>
      <c r="F11"/>
      <c r="G11"/>
    </row>
    <row r="12" spans="1:7" s="1" customFormat="1" ht="15" customHeight="1">
      <c r="A12" s="124"/>
      <c r="B12" s="123" t="s">
        <v>367</v>
      </c>
      <c r="C12" s="18" t="s">
        <v>276</v>
      </c>
      <c r="D12" s="351">
        <v>1104.1</v>
      </c>
      <c r="E12"/>
      <c r="F12"/>
      <c r="G12"/>
    </row>
    <row r="13" spans="1:7" s="1" customFormat="1" ht="15" customHeight="1">
      <c r="A13" s="124"/>
      <c r="B13" s="123" t="s">
        <v>368</v>
      </c>
      <c r="C13" s="18" t="s">
        <v>276</v>
      </c>
      <c r="D13" s="351">
        <v>0</v>
      </c>
      <c r="E13"/>
      <c r="F13"/>
      <c r="G13"/>
    </row>
    <row r="14" spans="1:7" s="1" customFormat="1" ht="15" customHeight="1">
      <c r="A14" s="124" t="s">
        <v>76</v>
      </c>
      <c r="B14" s="123" t="s">
        <v>62</v>
      </c>
      <c r="C14" s="18" t="s">
        <v>276</v>
      </c>
      <c r="D14" s="351">
        <v>495.8</v>
      </c>
      <c r="E14"/>
      <c r="F14"/>
      <c r="G14"/>
    </row>
    <row r="15" spans="1:7" s="1" customFormat="1" ht="15" customHeight="1">
      <c r="A15" s="121" t="s">
        <v>77</v>
      </c>
      <c r="B15" s="8" t="s">
        <v>268</v>
      </c>
      <c r="C15" s="7" t="s">
        <v>276</v>
      </c>
      <c r="D15" s="344">
        <v>0</v>
      </c>
      <c r="E15"/>
      <c r="F15"/>
      <c r="G15"/>
    </row>
    <row r="16" spans="1:7" s="1" customFormat="1" ht="15" customHeight="1">
      <c r="A16" s="121" t="s">
        <v>78</v>
      </c>
      <c r="B16" s="8" t="s">
        <v>267</v>
      </c>
      <c r="C16" s="7" t="s">
        <v>276</v>
      </c>
      <c r="D16" s="344">
        <v>368.1</v>
      </c>
      <c r="E16"/>
      <c r="F16"/>
      <c r="G16"/>
    </row>
    <row r="17" spans="1:7" s="1" customFormat="1" ht="15" customHeight="1">
      <c r="A17" s="121" t="s">
        <v>79</v>
      </c>
      <c r="B17" s="8" t="s">
        <v>63</v>
      </c>
      <c r="C17" s="7" t="s">
        <v>276</v>
      </c>
      <c r="D17" s="344">
        <v>10</v>
      </c>
      <c r="E17"/>
      <c r="F17"/>
      <c r="G17"/>
    </row>
    <row r="18" spans="1:7" s="1" customFormat="1" ht="15" customHeight="1">
      <c r="A18" s="121" t="s">
        <v>80</v>
      </c>
      <c r="B18" s="8" t="s">
        <v>492</v>
      </c>
      <c r="C18" s="7" t="s">
        <v>493</v>
      </c>
      <c r="D18" s="344">
        <v>4249</v>
      </c>
      <c r="E18"/>
      <c r="F18"/>
      <c r="G18"/>
    </row>
    <row r="19" spans="1:7" s="1" customFormat="1" ht="15" customHeight="1">
      <c r="A19" s="121" t="s">
        <v>154</v>
      </c>
      <c r="B19" s="8" t="s">
        <v>319</v>
      </c>
      <c r="C19" s="7" t="s">
        <v>320</v>
      </c>
      <c r="D19" s="344">
        <v>36</v>
      </c>
      <c r="E19"/>
      <c r="F19"/>
      <c r="G19"/>
    </row>
    <row r="20" spans="1:7" s="1" customFormat="1" ht="15" customHeight="1">
      <c r="A20" s="121" t="s">
        <v>81</v>
      </c>
      <c r="B20" s="8" t="s">
        <v>322</v>
      </c>
      <c r="C20" s="7" t="s">
        <v>321</v>
      </c>
      <c r="D20" s="344">
        <v>84</v>
      </c>
      <c r="E20" s="794"/>
      <c r="F20"/>
      <c r="G20"/>
    </row>
    <row r="21" spans="1:7" s="1" customFormat="1" ht="27.75" customHeight="1">
      <c r="A21" s="121" t="s">
        <v>155</v>
      </c>
      <c r="B21" s="8" t="s">
        <v>323</v>
      </c>
      <c r="C21" s="7" t="s">
        <v>321</v>
      </c>
      <c r="D21" s="344">
        <v>2</v>
      </c>
      <c r="E21"/>
      <c r="F21"/>
      <c r="G21"/>
    </row>
    <row r="22" spans="1:7" s="1" customFormat="1" ht="15" customHeight="1">
      <c r="A22" s="121" t="s">
        <v>156</v>
      </c>
      <c r="B22" s="8" t="s">
        <v>324</v>
      </c>
      <c r="C22" s="7" t="s">
        <v>321</v>
      </c>
      <c r="D22" s="344">
        <v>0</v>
      </c>
      <c r="E22"/>
      <c r="F22"/>
      <c r="G22"/>
    </row>
    <row r="23" spans="1:7" s="1" customFormat="1" ht="15" customHeight="1">
      <c r="A23" s="121" t="s">
        <v>157</v>
      </c>
      <c r="B23" s="8" t="s">
        <v>327</v>
      </c>
      <c r="C23" s="7" t="s">
        <v>321</v>
      </c>
      <c r="D23" s="344">
        <v>526</v>
      </c>
      <c r="E23"/>
      <c r="F23"/>
      <c r="G23"/>
    </row>
    <row r="24" spans="1:7" s="1" customFormat="1" ht="27.75" customHeight="1">
      <c r="A24" s="121" t="s">
        <v>88</v>
      </c>
      <c r="B24" s="8" t="s">
        <v>328</v>
      </c>
      <c r="C24" s="7" t="s">
        <v>168</v>
      </c>
      <c r="D24" s="344">
        <v>2</v>
      </c>
      <c r="E24"/>
      <c r="F24"/>
      <c r="G24"/>
    </row>
    <row r="25" spans="1:7" s="1" customFormat="1" ht="15" customHeight="1">
      <c r="A25" s="121" t="s">
        <v>89</v>
      </c>
      <c r="B25" s="8" t="s">
        <v>329</v>
      </c>
      <c r="C25" s="7" t="s">
        <v>168</v>
      </c>
      <c r="D25" s="344">
        <v>4</v>
      </c>
      <c r="E25"/>
      <c r="F25"/>
      <c r="G25"/>
    </row>
    <row r="26" spans="1:7" s="1" customFormat="1" ht="15" customHeight="1">
      <c r="A26" s="121" t="s">
        <v>90</v>
      </c>
      <c r="B26" s="8" t="s">
        <v>325</v>
      </c>
      <c r="C26" s="7" t="s">
        <v>326</v>
      </c>
      <c r="D26" s="344">
        <v>108</v>
      </c>
      <c r="E26"/>
      <c r="F26"/>
      <c r="G26"/>
    </row>
    <row r="27" spans="1:7" s="1" customFormat="1" ht="15" customHeight="1">
      <c r="A27" s="121" t="s">
        <v>91</v>
      </c>
      <c r="B27" s="8" t="s">
        <v>330</v>
      </c>
      <c r="C27" s="7" t="s">
        <v>326</v>
      </c>
      <c r="D27" s="344">
        <v>0</v>
      </c>
      <c r="E27"/>
      <c r="F27"/>
      <c r="G27"/>
    </row>
    <row r="28" spans="1:7" s="1" customFormat="1" ht="15" customHeight="1">
      <c r="A28" s="121" t="s">
        <v>92</v>
      </c>
      <c r="B28" s="8" t="s">
        <v>331</v>
      </c>
      <c r="C28" s="7" t="s">
        <v>326</v>
      </c>
      <c r="D28" s="344">
        <v>1</v>
      </c>
      <c r="E28"/>
      <c r="F28"/>
      <c r="G28"/>
    </row>
    <row r="29" spans="1:7" s="1" customFormat="1" ht="15" customHeight="1">
      <c r="A29" s="121" t="s">
        <v>93</v>
      </c>
      <c r="B29" s="8" t="s">
        <v>186</v>
      </c>
      <c r="C29" s="7" t="s">
        <v>168</v>
      </c>
      <c r="D29" s="344">
        <v>48</v>
      </c>
      <c r="E29"/>
      <c r="F29"/>
      <c r="G29"/>
    </row>
    <row r="30" spans="1:7" s="1" customFormat="1" ht="15" customHeight="1">
      <c r="A30" s="121" t="s">
        <v>94</v>
      </c>
      <c r="B30" s="8" t="s">
        <v>187</v>
      </c>
      <c r="C30" s="7" t="s">
        <v>168</v>
      </c>
      <c r="D30" s="344">
        <v>24</v>
      </c>
      <c r="E30"/>
      <c r="F30"/>
      <c r="G30"/>
    </row>
    <row r="31" spans="1:8" s="1" customFormat="1" ht="27" customHeight="1">
      <c r="A31" s="121" t="s">
        <v>95</v>
      </c>
      <c r="B31" s="8" t="s">
        <v>308</v>
      </c>
      <c r="C31" s="7" t="s">
        <v>287</v>
      </c>
      <c r="D31" s="853">
        <v>2237</v>
      </c>
      <c r="E31"/>
      <c r="F31"/>
      <c r="G31"/>
      <c r="H31" s="1">
        <v>5128</v>
      </c>
    </row>
    <row r="32" spans="1:7" s="1" customFormat="1" ht="27" customHeight="1">
      <c r="A32" s="121" t="s">
        <v>158</v>
      </c>
      <c r="B32" s="8" t="s">
        <v>421</v>
      </c>
      <c r="C32" s="7" t="s">
        <v>287</v>
      </c>
      <c r="D32" s="345">
        <v>0</v>
      </c>
      <c r="E32"/>
      <c r="F32"/>
      <c r="G32"/>
    </row>
    <row r="33" spans="1:7" s="1" customFormat="1" ht="15" customHeight="1">
      <c r="A33" s="121" t="s">
        <v>159</v>
      </c>
      <c r="B33" s="8" t="s">
        <v>264</v>
      </c>
      <c r="C33" s="7" t="s">
        <v>168</v>
      </c>
      <c r="D33" s="344">
        <v>2</v>
      </c>
      <c r="E33"/>
      <c r="F33"/>
      <c r="G33"/>
    </row>
    <row r="34" spans="1:7" s="1" customFormat="1" ht="15" customHeight="1">
      <c r="A34" s="121" t="s">
        <v>312</v>
      </c>
      <c r="B34" s="8" t="s">
        <v>265</v>
      </c>
      <c r="C34" s="7" t="s">
        <v>168</v>
      </c>
      <c r="D34" s="344">
        <v>3</v>
      </c>
      <c r="E34"/>
      <c r="F34"/>
      <c r="G34"/>
    </row>
    <row r="35" spans="1:7" s="1" customFormat="1" ht="15" customHeight="1">
      <c r="A35" s="121" t="s">
        <v>313</v>
      </c>
      <c r="B35" s="8" t="s">
        <v>415</v>
      </c>
      <c r="C35" s="7" t="s">
        <v>276</v>
      </c>
      <c r="D35" s="897">
        <v>149.3</v>
      </c>
      <c r="E35"/>
      <c r="F35"/>
      <c r="G35"/>
    </row>
    <row r="36" spans="1:7" s="1" customFormat="1" ht="15" customHeight="1">
      <c r="A36" s="121" t="s">
        <v>160</v>
      </c>
      <c r="B36" s="8" t="s">
        <v>416</v>
      </c>
      <c r="C36" s="7" t="s">
        <v>276</v>
      </c>
      <c r="D36" s="344"/>
      <c r="E36"/>
      <c r="F36"/>
      <c r="G36"/>
    </row>
    <row r="37" spans="1:7" s="1" customFormat="1" ht="15" customHeight="1">
      <c r="A37" s="121" t="s">
        <v>96</v>
      </c>
      <c r="B37" s="8" t="s">
        <v>417</v>
      </c>
      <c r="C37" s="7" t="s">
        <v>276</v>
      </c>
      <c r="D37" s="344"/>
      <c r="E37"/>
      <c r="F37"/>
      <c r="G37"/>
    </row>
    <row r="38" spans="1:7" s="1" customFormat="1" ht="15" customHeight="1">
      <c r="A38" s="121" t="s">
        <v>97</v>
      </c>
      <c r="B38" s="8" t="s">
        <v>418</v>
      </c>
      <c r="C38" s="7" t="s">
        <v>276</v>
      </c>
      <c r="D38" s="344">
        <v>573</v>
      </c>
      <c r="E38"/>
      <c r="F38"/>
      <c r="G38"/>
    </row>
    <row r="39" spans="1:7" s="1" customFormat="1" ht="15" customHeight="1">
      <c r="A39" s="121" t="s">
        <v>98</v>
      </c>
      <c r="B39" s="8" t="s">
        <v>419</v>
      </c>
      <c r="C39" s="7" t="s">
        <v>276</v>
      </c>
      <c r="D39" s="344"/>
      <c r="E39"/>
      <c r="F39"/>
      <c r="G39"/>
    </row>
    <row r="40" spans="1:7" s="1" customFormat="1" ht="15" customHeight="1">
      <c r="A40" s="121" t="s">
        <v>99</v>
      </c>
      <c r="B40" s="8" t="s">
        <v>420</v>
      </c>
      <c r="C40" s="7" t="s">
        <v>276</v>
      </c>
      <c r="D40" s="344"/>
      <c r="E40"/>
      <c r="F40"/>
      <c r="G40"/>
    </row>
    <row r="41" spans="1:7" s="1" customFormat="1" ht="15" customHeight="1">
      <c r="A41" s="121" t="s">
        <v>100</v>
      </c>
      <c r="B41" s="8" t="s">
        <v>414</v>
      </c>
      <c r="C41" s="7" t="s">
        <v>276</v>
      </c>
      <c r="D41" s="344">
        <v>272.1</v>
      </c>
      <c r="E41"/>
      <c r="F41"/>
      <c r="G41"/>
    </row>
    <row r="42" spans="1:7" s="1" customFormat="1" ht="15" customHeight="1">
      <c r="A42" s="121" t="s">
        <v>101</v>
      </c>
      <c r="B42" s="9" t="s">
        <v>332</v>
      </c>
      <c r="C42" s="7"/>
      <c r="D42" s="344"/>
      <c r="E42"/>
      <c r="F42"/>
      <c r="G42"/>
    </row>
    <row r="43" spans="1:7" s="1" customFormat="1" ht="15" customHeight="1">
      <c r="A43" s="121" t="s">
        <v>102</v>
      </c>
      <c r="B43" s="8" t="s">
        <v>333</v>
      </c>
      <c r="C43" s="7" t="s">
        <v>276</v>
      </c>
      <c r="D43" s="344">
        <v>0</v>
      </c>
      <c r="E43"/>
      <c r="F43"/>
      <c r="G43"/>
    </row>
    <row r="44" spans="1:7" s="1" customFormat="1" ht="15" customHeight="1">
      <c r="A44" s="121" t="s">
        <v>103</v>
      </c>
      <c r="B44" s="8" t="s">
        <v>334</v>
      </c>
      <c r="C44" s="7" t="s">
        <v>168</v>
      </c>
      <c r="D44" s="344">
        <v>0</v>
      </c>
      <c r="E44"/>
      <c r="F44"/>
      <c r="G44"/>
    </row>
    <row r="45" spans="1:7" s="1" customFormat="1" ht="15" customHeight="1">
      <c r="A45" s="121" t="s">
        <v>314</v>
      </c>
      <c r="B45" s="8" t="s">
        <v>332</v>
      </c>
      <c r="C45" s="7" t="s">
        <v>168</v>
      </c>
      <c r="D45" s="344">
        <v>0</v>
      </c>
      <c r="E45"/>
      <c r="F45"/>
      <c r="G45"/>
    </row>
    <row r="46" spans="1:7" s="1" customFormat="1" ht="15" customHeight="1">
      <c r="A46" s="121" t="s">
        <v>104</v>
      </c>
      <c r="B46" s="8" t="s">
        <v>335</v>
      </c>
      <c r="C46" s="7" t="s">
        <v>338</v>
      </c>
      <c r="D46" s="344">
        <v>0</v>
      </c>
      <c r="E46"/>
      <c r="F46"/>
      <c r="G46"/>
    </row>
    <row r="47" spans="1:7" s="1" customFormat="1" ht="15" customHeight="1">
      <c r="A47" s="121" t="s">
        <v>105</v>
      </c>
      <c r="B47" s="8" t="s">
        <v>336</v>
      </c>
      <c r="C47" s="7" t="s">
        <v>168</v>
      </c>
      <c r="D47" s="344">
        <v>0</v>
      </c>
      <c r="E47"/>
      <c r="F47"/>
      <c r="G47"/>
    </row>
    <row r="48" spans="1:7" s="1" customFormat="1" ht="15" customHeight="1" thickBot="1">
      <c r="A48" s="455" t="s">
        <v>494</v>
      </c>
      <c r="B48" s="456" t="s">
        <v>337</v>
      </c>
      <c r="C48" s="457" t="s">
        <v>168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57" t="s">
        <v>757</v>
      </c>
      <c r="B1" s="957"/>
      <c r="C1" s="957"/>
      <c r="D1" s="957"/>
      <c r="E1" s="957"/>
      <c r="F1" s="957"/>
      <c r="G1" s="957"/>
      <c r="H1" s="219"/>
      <c r="I1" s="219"/>
      <c r="J1" s="219"/>
      <c r="K1" s="219"/>
      <c r="L1" s="222" t="s">
        <v>147</v>
      </c>
      <c r="M1" s="219"/>
    </row>
    <row r="2" spans="1:13" ht="13.5" thickBot="1">
      <c r="A2" s="130" t="s">
        <v>438</v>
      </c>
      <c r="M2" s="26" t="s">
        <v>56</v>
      </c>
    </row>
    <row r="3" spans="1:13" ht="29.25" customHeight="1">
      <c r="A3" s="958" t="s">
        <v>0</v>
      </c>
      <c r="B3" s="960" t="s">
        <v>108</v>
      </c>
      <c r="C3" s="950" t="s">
        <v>437</v>
      </c>
      <c r="D3" s="950"/>
      <c r="E3" s="950"/>
      <c r="F3" s="950"/>
      <c r="G3" s="951"/>
      <c r="H3" s="952" t="s">
        <v>162</v>
      </c>
      <c r="I3" s="953"/>
      <c r="J3" s="953"/>
      <c r="K3" s="953"/>
      <c r="L3" s="954"/>
      <c r="M3" s="107"/>
    </row>
    <row r="4" spans="1:14" s="2" customFormat="1" ht="51">
      <c r="A4" s="959"/>
      <c r="B4" s="961"/>
      <c r="C4" s="7" t="s">
        <v>4</v>
      </c>
      <c r="D4" s="7" t="s">
        <v>483</v>
      </c>
      <c r="E4" s="7" t="s">
        <v>306</v>
      </c>
      <c r="F4" s="7" t="s">
        <v>295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7"/>
      <c r="B5" s="457"/>
      <c r="C5" s="457"/>
      <c r="D5" s="457" t="s">
        <v>276</v>
      </c>
      <c r="E5" s="457" t="s">
        <v>276</v>
      </c>
      <c r="F5" s="457" t="s">
        <v>293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276</v>
      </c>
      <c r="C7" s="720"/>
      <c r="D7" s="721">
        <f>'Исход дан'!D11</f>
        <v>1104.1</v>
      </c>
      <c r="E7" s="722"/>
      <c r="F7" s="722"/>
      <c r="G7" s="489"/>
      <c r="H7" s="237"/>
      <c r="I7" s="9">
        <f>D7</f>
        <v>1104.1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431</v>
      </c>
      <c r="B9" s="17" t="s">
        <v>276</v>
      </c>
      <c r="C9" s="478" t="s">
        <v>296</v>
      </c>
      <c r="D9" s="559">
        <f>'Исход дан'!D9</f>
        <v>55.4</v>
      </c>
      <c r="E9" s="221">
        <v>790</v>
      </c>
      <c r="F9" s="685">
        <f>D9/E9</f>
        <v>0.07012658227848101</v>
      </c>
      <c r="G9" s="701"/>
      <c r="H9" s="264"/>
      <c r="I9" s="7">
        <f>D9</f>
        <v>55.4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382</v>
      </c>
      <c r="B10" s="460"/>
      <c r="C10" s="493" t="s">
        <v>296</v>
      </c>
      <c r="D10" s="250" t="s">
        <v>296</v>
      </c>
      <c r="E10" s="250" t="s">
        <v>296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429</v>
      </c>
      <c r="B11" s="461" t="s">
        <v>293</v>
      </c>
      <c r="C11" s="723"/>
      <c r="D11" s="724"/>
      <c r="E11" s="724"/>
      <c r="F11" s="725">
        <f>F9*F10</f>
        <v>0.07854177215189874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384</v>
      </c>
      <c r="B12" s="112" t="s">
        <v>297</v>
      </c>
      <c r="C12" s="792">
        <f>3500*1.25*1.06*1.06</f>
        <v>4915.75</v>
      </c>
      <c r="D12" s="494" t="s">
        <v>296</v>
      </c>
      <c r="E12" s="494" t="s">
        <v>296</v>
      </c>
      <c r="F12" s="684">
        <f>F11</f>
        <v>0.07854177215189874</v>
      </c>
      <c r="G12" s="703">
        <f>C12*F12*12</f>
        <v>4633.100597468354</v>
      </c>
      <c r="H12" s="264">
        <f>C12</f>
        <v>4915.75</v>
      </c>
      <c r="I12" s="86">
        <f>I9</f>
        <v>55.4</v>
      </c>
      <c r="J12" s="7">
        <v>377.66</v>
      </c>
      <c r="K12" s="82">
        <f>I12*J12/100</f>
        <v>209.22364000000002</v>
      </c>
      <c r="L12" s="99">
        <f>K12*12</f>
        <v>2510.68368</v>
      </c>
      <c r="M12" s="109">
        <f aca="true" t="shared" si="0" ref="M12:M19">G12-L12</f>
        <v>2122.416917468354</v>
      </c>
      <c r="N12" s="955"/>
      <c r="O12" s="956"/>
      <c r="P12" s="956"/>
    </row>
    <row r="13" spans="1:14" s="1" customFormat="1" ht="15" customHeight="1">
      <c r="A13" s="88" t="s">
        <v>5</v>
      </c>
      <c r="B13" s="17" t="s">
        <v>195</v>
      </c>
      <c r="C13" s="726">
        <v>0.14</v>
      </c>
      <c r="D13" s="221" t="s">
        <v>296</v>
      </c>
      <c r="E13" s="221" t="s">
        <v>296</v>
      </c>
      <c r="F13" s="221" t="s">
        <v>296</v>
      </c>
      <c r="G13" s="704">
        <f>G12*14/100</f>
        <v>648.6340836455696</v>
      </c>
      <c r="H13" s="265">
        <f>C13</f>
        <v>0.14</v>
      </c>
      <c r="I13" s="7"/>
      <c r="J13" s="7">
        <v>188.83</v>
      </c>
      <c r="K13" s="82">
        <f>I12*J13/100</f>
        <v>104.61182000000001</v>
      </c>
      <c r="L13" s="99">
        <f>K13*12</f>
        <v>1255.34184</v>
      </c>
      <c r="M13" s="109">
        <f t="shared" si="0"/>
        <v>-606.7077563544304</v>
      </c>
      <c r="N13"/>
    </row>
    <row r="14" spans="1:16" s="4" customFormat="1" ht="15" customHeight="1">
      <c r="A14" s="377" t="s">
        <v>10</v>
      </c>
      <c r="B14" s="468" t="s">
        <v>436</v>
      </c>
      <c r="C14" s="479" t="s">
        <v>296</v>
      </c>
      <c r="D14" s="477" t="s">
        <v>296</v>
      </c>
      <c r="E14" s="477" t="s">
        <v>296</v>
      </c>
      <c r="F14" s="477" t="s">
        <v>296</v>
      </c>
      <c r="G14" s="491">
        <f>G12+G13</f>
        <v>5281.734681113923</v>
      </c>
      <c r="H14" s="237"/>
      <c r="I14" s="9"/>
      <c r="J14" s="9">
        <f>J12+J13</f>
        <v>566.49</v>
      </c>
      <c r="K14" s="87">
        <f>SUM(K12:K13)</f>
        <v>313.83546</v>
      </c>
      <c r="L14" s="100">
        <f>SUM(L12:L13)</f>
        <v>3766.02552</v>
      </c>
      <c r="M14" s="109">
        <f t="shared" si="0"/>
        <v>1515.709161113923</v>
      </c>
      <c r="N14" s="876">
        <f>G14/12/1104.1</f>
        <v>0.3986455545326453</v>
      </c>
      <c r="O14" s="4" t="s">
        <v>769</v>
      </c>
      <c r="P14" s="900">
        <f>N14+N36</f>
        <v>2.149593722292653</v>
      </c>
    </row>
    <row r="15" spans="1:16" s="253" customFormat="1" ht="15" customHeight="1">
      <c r="A15" s="89" t="s">
        <v>12</v>
      </c>
      <c r="B15" s="462" t="s">
        <v>195</v>
      </c>
      <c r="C15" s="727">
        <v>0.202</v>
      </c>
      <c r="D15" s="221" t="s">
        <v>296</v>
      </c>
      <c r="E15" s="221" t="s">
        <v>296</v>
      </c>
      <c r="F15" s="221" t="s">
        <v>296</v>
      </c>
      <c r="G15" s="704">
        <f>G14*C15</f>
        <v>1066.9104055850125</v>
      </c>
      <c r="H15" s="321">
        <v>0.262</v>
      </c>
      <c r="I15" s="153"/>
      <c r="J15" s="153">
        <v>148.42</v>
      </c>
      <c r="K15" s="320">
        <f>I12*J15/100</f>
        <v>82.22467999999999</v>
      </c>
      <c r="L15" s="322">
        <f>K15*12</f>
        <v>986.69616</v>
      </c>
      <c r="M15" s="323">
        <f t="shared" si="0"/>
        <v>80.21424558501258</v>
      </c>
      <c r="N15" s="895">
        <f>G15/12/1104.1</f>
        <v>0.08052640201559434</v>
      </c>
      <c r="O15" s="1" t="s">
        <v>770</v>
      </c>
      <c r="P15" s="901">
        <f>N15+N37</f>
        <v>0.434217931903116</v>
      </c>
    </row>
    <row r="16" spans="1:16" s="253" customFormat="1" ht="15" customHeight="1">
      <c r="A16" s="89" t="s">
        <v>6</v>
      </c>
      <c r="B16" s="439" t="s">
        <v>305</v>
      </c>
      <c r="C16" s="728">
        <f>'спец инв'!H13</f>
        <v>561.3232</v>
      </c>
      <c r="D16" s="221" t="s">
        <v>296</v>
      </c>
      <c r="E16" s="221" t="s">
        <v>296</v>
      </c>
      <c r="F16" s="700">
        <f>F11</f>
        <v>0.07854177215189874</v>
      </c>
      <c r="G16" s="520">
        <f>C16*F16</f>
        <v>44.08731887797469</v>
      </c>
      <c r="H16" s="245">
        <v>14.51</v>
      </c>
      <c r="I16" s="153"/>
      <c r="J16" s="153">
        <v>2.63</v>
      </c>
      <c r="K16" s="324">
        <f>J16*I12/100</f>
        <v>1.45702</v>
      </c>
      <c r="L16" s="322">
        <f>K16*12</f>
        <v>17.48424</v>
      </c>
      <c r="M16" s="323">
        <f t="shared" si="0"/>
        <v>26.60307887797469</v>
      </c>
      <c r="N16" s="895">
        <f>SUM(G16:G18)/12/1104.1</f>
        <v>0.024650680252545465</v>
      </c>
      <c r="O16" s="1" t="s">
        <v>771</v>
      </c>
      <c r="P16" s="901">
        <f>N16+N38</f>
        <v>0.20672725653604526</v>
      </c>
    </row>
    <row r="17" spans="1:14" s="253" customFormat="1" ht="15" customHeight="1">
      <c r="A17" s="89" t="s">
        <v>294</v>
      </c>
      <c r="B17" s="439" t="s">
        <v>305</v>
      </c>
      <c r="C17" s="728">
        <f>'спец инв'!H43</f>
        <v>2251.175</v>
      </c>
      <c r="D17" s="221" t="s">
        <v>296</v>
      </c>
      <c r="E17" s="221" t="s">
        <v>296</v>
      </c>
      <c r="F17" s="700">
        <f>F11</f>
        <v>0.07854177215189874</v>
      </c>
      <c r="G17" s="520">
        <f>C17*F17</f>
        <v>176.81127392405065</v>
      </c>
      <c r="H17" s="245">
        <v>21.86</v>
      </c>
      <c r="I17" s="153"/>
      <c r="J17" s="153">
        <v>6.59</v>
      </c>
      <c r="K17" s="324">
        <f>I12*J17/100</f>
        <v>3.6508599999999998</v>
      </c>
      <c r="L17" s="322">
        <f>K17*12</f>
        <v>43.81032</v>
      </c>
      <c r="M17" s="323">
        <f t="shared" si="0"/>
        <v>133.00095392405066</v>
      </c>
      <c r="N17" s="31"/>
    </row>
    <row r="18" spans="1:14" s="253" customFormat="1" ht="15" customHeight="1" thickBot="1">
      <c r="A18" s="368" t="s">
        <v>292</v>
      </c>
      <c r="B18" s="463" t="s">
        <v>298</v>
      </c>
      <c r="C18" s="728">
        <f>'спец инв'!H44</f>
        <v>1.9080000000000001</v>
      </c>
      <c r="D18" s="250">
        <f>D9</f>
        <v>55.4</v>
      </c>
      <c r="E18" s="250" t="s">
        <v>296</v>
      </c>
      <c r="F18" s="449" t="s">
        <v>296</v>
      </c>
      <c r="G18" s="705">
        <f>C18*D18</f>
        <v>105.70320000000001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383</v>
      </c>
      <c r="B19" s="464"/>
      <c r="C19" s="480" t="s">
        <v>296</v>
      </c>
      <c r="D19" s="487" t="s">
        <v>296</v>
      </c>
      <c r="E19" s="487" t="s">
        <v>296</v>
      </c>
      <c r="F19" s="487" t="s">
        <v>296</v>
      </c>
      <c r="G19" s="706">
        <f>G14+G15+G16+G17+G18</f>
        <v>6675.246879500962</v>
      </c>
      <c r="H19" s="267"/>
      <c r="I19" s="119"/>
      <c r="J19" s="186">
        <f>SUM(J14:J18)</f>
        <v>724.13</v>
      </c>
      <c r="K19" s="186">
        <f>SUM(K14:K18)</f>
        <v>401.16802</v>
      </c>
      <c r="L19" s="187">
        <f>SUM(L14:L18)</f>
        <v>4814.01624</v>
      </c>
      <c r="M19" s="175">
        <f t="shared" si="0"/>
        <v>1861.2306395009618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163</v>
      </c>
      <c r="I20" s="18"/>
      <c r="J20" s="7" t="s">
        <v>161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434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422</v>
      </c>
      <c r="B22" s="465"/>
      <c r="C22" s="478" t="s">
        <v>296</v>
      </c>
      <c r="D22" s="450">
        <f>'Исход дан'!D35</f>
        <v>149.3</v>
      </c>
      <c r="E22" s="450">
        <v>3630</v>
      </c>
      <c r="F22" s="685">
        <f>D22/E22</f>
        <v>0.041129476584022044</v>
      </c>
      <c r="G22" s="708"/>
      <c r="H22" s="268">
        <v>6.5</v>
      </c>
      <c r="I22" s="225">
        <f>D22</f>
        <v>149.3</v>
      </c>
      <c r="J22" s="225">
        <v>215.67</v>
      </c>
      <c r="K22" s="226">
        <f>J22*I22/100</f>
        <v>321.99531</v>
      </c>
      <c r="L22" s="229">
        <f>K22*H22</f>
        <v>2092.9695150000002</v>
      </c>
      <c r="M22" s="227"/>
      <c r="N22"/>
    </row>
    <row r="23" spans="1:16" s="1" customFormat="1" ht="15" customHeight="1">
      <c r="A23" s="444" t="s">
        <v>423</v>
      </c>
      <c r="B23" s="465"/>
      <c r="C23" s="478" t="s">
        <v>296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149.3</v>
      </c>
      <c r="J23" s="223">
        <v>650.95</v>
      </c>
      <c r="K23" s="224">
        <f>J23*I23/100</f>
        <v>971.8683500000002</v>
      </c>
      <c r="L23" s="230">
        <f>K23*H23</f>
        <v>5345.275925000001</v>
      </c>
      <c r="M23" s="228"/>
      <c r="N23"/>
      <c r="P23" s="1" t="s">
        <v>433</v>
      </c>
    </row>
    <row r="24" spans="1:14" s="1" customFormat="1" ht="15" customHeight="1">
      <c r="A24" s="444" t="s">
        <v>424</v>
      </c>
      <c r="B24" s="465"/>
      <c r="C24" s="478" t="s">
        <v>296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425</v>
      </c>
      <c r="B26" s="465"/>
      <c r="C26" s="478" t="s">
        <v>296</v>
      </c>
      <c r="D26" s="450">
        <f>'Исход дан'!D38</f>
        <v>573</v>
      </c>
      <c r="E26" s="450">
        <v>2340</v>
      </c>
      <c r="F26" s="685">
        <f>D26/E26</f>
        <v>0.24487179487179486</v>
      </c>
      <c r="G26" s="708"/>
      <c r="H26" s="268">
        <v>6.5</v>
      </c>
      <c r="I26" s="225">
        <f>D26</f>
        <v>573</v>
      </c>
      <c r="J26" s="225">
        <v>279.99</v>
      </c>
      <c r="K26" s="226">
        <f>J26*I26/100</f>
        <v>1604.3427000000001</v>
      </c>
      <c r="L26" s="229">
        <f>K26*H26</f>
        <v>10428.227550000001</v>
      </c>
      <c r="M26" s="227"/>
      <c r="N26"/>
    </row>
    <row r="27" spans="1:14" s="1" customFormat="1" ht="15" customHeight="1">
      <c r="A27" s="444" t="s">
        <v>426</v>
      </c>
      <c r="B27" s="465"/>
      <c r="C27" s="478" t="s">
        <v>296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573</v>
      </c>
      <c r="J27" s="223">
        <v>931.98</v>
      </c>
      <c r="K27" s="224">
        <f>J27*I27/100</f>
        <v>5340.245400000001</v>
      </c>
      <c r="L27" s="230">
        <f>K27*H27</f>
        <v>29371.349700000002</v>
      </c>
      <c r="M27" s="228"/>
      <c r="N27"/>
    </row>
    <row r="28" spans="1:14" s="1" customFormat="1" ht="15" customHeight="1">
      <c r="A28" s="444" t="s">
        <v>427</v>
      </c>
      <c r="B28" s="465"/>
      <c r="C28" s="478" t="s">
        <v>296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428</v>
      </c>
      <c r="B30" s="465"/>
      <c r="C30" s="478" t="s">
        <v>296</v>
      </c>
      <c r="D30" s="450">
        <f>'Исход дан'!D41</f>
        <v>272.1</v>
      </c>
      <c r="E30" s="450">
        <v>30000</v>
      </c>
      <c r="F30" s="685">
        <f>D30/E30</f>
        <v>0.00907</v>
      </c>
      <c r="G30" s="708"/>
      <c r="H30" s="268">
        <v>6.5</v>
      </c>
      <c r="I30" s="225">
        <f>D30</f>
        <v>272.1</v>
      </c>
      <c r="J30" s="225">
        <v>77.76</v>
      </c>
      <c r="K30" s="226">
        <f>J30*I30/100</f>
        <v>211.58496000000002</v>
      </c>
      <c r="L30" s="229">
        <f>K30*H30</f>
        <v>1375.3022400000002</v>
      </c>
      <c r="M30" s="227"/>
      <c r="N30"/>
    </row>
    <row r="31" spans="1:14" s="5" customFormat="1" ht="15" customHeight="1">
      <c r="A31" s="445" t="s">
        <v>432</v>
      </c>
      <c r="B31" s="466" t="s">
        <v>293</v>
      </c>
      <c r="C31" s="478" t="s">
        <v>296</v>
      </c>
      <c r="D31" s="221" t="s">
        <v>296</v>
      </c>
      <c r="E31" s="221" t="s">
        <v>296</v>
      </c>
      <c r="F31" s="730">
        <f>F22+F23+F24+F26+F27+F28+F30</f>
        <v>0.2950712714558169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377</v>
      </c>
      <c r="B32" s="467"/>
      <c r="C32" s="478" t="s">
        <v>296</v>
      </c>
      <c r="D32" s="221" t="s">
        <v>296</v>
      </c>
      <c r="E32" s="221" t="s">
        <v>296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430</v>
      </c>
      <c r="B33" s="461"/>
      <c r="C33" s="481" t="s">
        <v>296</v>
      </c>
      <c r="D33" s="451" t="s">
        <v>296</v>
      </c>
      <c r="E33" s="451" t="s">
        <v>296</v>
      </c>
      <c r="F33" s="560">
        <f>F31*F32</f>
        <v>0.33047982403051496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384</v>
      </c>
      <c r="B34" s="112" t="s">
        <v>299</v>
      </c>
      <c r="C34" s="792">
        <f>3500*1.25*1.06*1.06</f>
        <v>4915.75</v>
      </c>
      <c r="D34" s="221" t="s">
        <v>296</v>
      </c>
      <c r="E34" s="221" t="s">
        <v>296</v>
      </c>
      <c r="F34" s="684">
        <f>F33</f>
        <v>0.33047982403051496</v>
      </c>
      <c r="G34" s="710">
        <f>C34*F34*12</f>
        <v>19494.674339736048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195</v>
      </c>
      <c r="C35" s="483">
        <v>0.19</v>
      </c>
      <c r="D35" s="221" t="s">
        <v>296</v>
      </c>
      <c r="E35" s="221" t="s">
        <v>296</v>
      </c>
      <c r="F35" s="221" t="s">
        <v>296</v>
      </c>
      <c r="G35" s="711">
        <f>G34*C35</f>
        <v>3703.988124549849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436</v>
      </c>
      <c r="C36" s="479" t="s">
        <v>296</v>
      </c>
      <c r="D36" s="477" t="s">
        <v>296</v>
      </c>
      <c r="E36" s="477" t="s">
        <v>296</v>
      </c>
      <c r="F36" s="477" t="s">
        <v>296</v>
      </c>
      <c r="G36" s="491">
        <f>G34+G35</f>
        <v>23198.662464285895</v>
      </c>
      <c r="H36" s="273"/>
      <c r="I36" s="116"/>
      <c r="J36" s="116"/>
      <c r="K36" s="176"/>
      <c r="L36" s="180"/>
      <c r="M36" s="181"/>
      <c r="N36" s="876">
        <f>G36/12/1104.1</f>
        <v>1.7509481677600078</v>
      </c>
    </row>
    <row r="37" spans="1:14" s="22" customFormat="1" ht="15" customHeight="1" thickBot="1">
      <c r="A37" s="446" t="s">
        <v>13</v>
      </c>
      <c r="B37" s="467" t="s">
        <v>195</v>
      </c>
      <c r="C37" s="484">
        <v>0.202</v>
      </c>
      <c r="D37" s="221" t="s">
        <v>296</v>
      </c>
      <c r="E37" s="221" t="s">
        <v>296</v>
      </c>
      <c r="F37" s="221" t="s">
        <v>296</v>
      </c>
      <c r="G37" s="712">
        <f>G36*C37</f>
        <v>4686.129817785751</v>
      </c>
      <c r="H37" s="336">
        <v>0.262</v>
      </c>
      <c r="I37" s="334"/>
      <c r="J37" s="334"/>
      <c r="K37" s="335"/>
      <c r="L37" s="337"/>
      <c r="M37" s="338"/>
      <c r="N37" s="896">
        <f>G37/12/1104.1</f>
        <v>0.3536915298875216</v>
      </c>
    </row>
    <row r="38" spans="1:14" s="22" customFormat="1" ht="15" customHeight="1" thickBot="1">
      <c r="A38" s="446" t="s">
        <v>300</v>
      </c>
      <c r="B38" s="439" t="s">
        <v>305</v>
      </c>
      <c r="C38" s="728">
        <f>'спец инв'!H22</f>
        <v>1246.242</v>
      </c>
      <c r="D38" s="450" t="s">
        <v>296</v>
      </c>
      <c r="E38" s="450" t="s">
        <v>296</v>
      </c>
      <c r="F38" s="685">
        <f>F33</f>
        <v>0.33047982403051496</v>
      </c>
      <c r="G38" s="713">
        <f>C38*F38</f>
        <v>411.857836859437</v>
      </c>
      <c r="H38" s="329"/>
      <c r="I38" s="328"/>
      <c r="J38" s="328"/>
      <c r="K38" s="328"/>
      <c r="L38" s="326"/>
      <c r="M38" s="330"/>
      <c r="N38" s="896">
        <f>SUM(G38:G41)/12/1104.1</f>
        <v>0.1820765762834998</v>
      </c>
    </row>
    <row r="39" spans="1:13" s="22" customFormat="1" ht="15" customHeight="1" thickBot="1">
      <c r="A39" s="446" t="s">
        <v>301</v>
      </c>
      <c r="B39" s="439" t="s">
        <v>305</v>
      </c>
      <c r="C39" s="728">
        <f>'спец инв'!H69</f>
        <v>2813.9908333333333</v>
      </c>
      <c r="D39" s="450" t="s">
        <v>296</v>
      </c>
      <c r="E39" s="450" t="s">
        <v>296</v>
      </c>
      <c r="F39" s="685">
        <f>F33</f>
        <v>0.33047982403051496</v>
      </c>
      <c r="G39" s="713">
        <f>C39*F39</f>
        <v>929.9671954234822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302</v>
      </c>
      <c r="B40" s="439" t="s">
        <v>305</v>
      </c>
      <c r="C40" s="728">
        <f>'спец инв'!H56</f>
        <v>2528.20865</v>
      </c>
      <c r="D40" s="450" t="s">
        <v>296</v>
      </c>
      <c r="E40" s="450" t="s">
        <v>296</v>
      </c>
      <c r="F40" s="685">
        <f>F33</f>
        <v>0.33047982403051496</v>
      </c>
      <c r="G40" s="713">
        <f>C40*F40</f>
        <v>835.5219497644258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303</v>
      </c>
      <c r="B41" s="439" t="s">
        <v>409</v>
      </c>
      <c r="C41" s="485" t="s">
        <v>296</v>
      </c>
      <c r="D41" s="450" t="s">
        <v>296</v>
      </c>
      <c r="E41" s="450" t="s">
        <v>296</v>
      </c>
      <c r="F41" s="450" t="s">
        <v>296</v>
      </c>
      <c r="G41" s="713">
        <f>'спец инв'!K71</f>
        <v>235.02199244800005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387</v>
      </c>
      <c r="B42" s="464"/>
      <c r="C42" s="480" t="s">
        <v>296</v>
      </c>
      <c r="D42" s="487" t="s">
        <v>296</v>
      </c>
      <c r="E42" s="487" t="s">
        <v>296</v>
      </c>
      <c r="F42" s="487" t="s">
        <v>296</v>
      </c>
      <c r="G42" s="714">
        <f>G36+G37+G38+G39+G40+G41</f>
        <v>30297.16125656699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388</v>
      </c>
      <c r="B44" s="17"/>
      <c r="C44" s="450" t="s">
        <v>296</v>
      </c>
      <c r="D44" s="221">
        <f>'Исход дан'!D7</f>
        <v>56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378</v>
      </c>
      <c r="B45" s="17"/>
      <c r="C45" s="450" t="s">
        <v>296</v>
      </c>
      <c r="D45" s="450" t="s">
        <v>296</v>
      </c>
      <c r="E45" s="450" t="s">
        <v>296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435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384</v>
      </c>
      <c r="B47" s="17" t="s">
        <v>299</v>
      </c>
      <c r="C47" s="478"/>
      <c r="D47" s="221" t="s">
        <v>296</v>
      </c>
      <c r="E47" s="221" t="s">
        <v>296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195</v>
      </c>
      <c r="C48" s="726"/>
      <c r="D48" s="221" t="s">
        <v>296</v>
      </c>
      <c r="E48" s="221" t="s">
        <v>296</v>
      </c>
      <c r="F48" s="221" t="s">
        <v>296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436</v>
      </c>
      <c r="C49" s="479" t="s">
        <v>296</v>
      </c>
      <c r="D49" s="477" t="s">
        <v>296</v>
      </c>
      <c r="E49" s="477" t="s">
        <v>296</v>
      </c>
      <c r="F49" s="477" t="s">
        <v>296</v>
      </c>
      <c r="G49" s="491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195</v>
      </c>
      <c r="C50" s="727"/>
      <c r="D50" s="221" t="s">
        <v>296</v>
      </c>
      <c r="E50" s="221" t="s">
        <v>296</v>
      </c>
      <c r="F50" s="221" t="s">
        <v>296</v>
      </c>
      <c r="G50" s="704" t="e">
        <f>G49*C50</f>
        <v>#DIV/0!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9" t="s">
        <v>305</v>
      </c>
      <c r="C51" s="728">
        <f>'спец инв'!H30</f>
        <v>0</v>
      </c>
      <c r="D51" s="452" t="s">
        <v>296</v>
      </c>
      <c r="E51" s="452" t="s">
        <v>296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305</v>
      </c>
      <c r="C52" s="736">
        <f>'спец инв'!H79</f>
        <v>0</v>
      </c>
      <c r="D52" s="452" t="s">
        <v>296</v>
      </c>
      <c r="E52" s="452" t="s">
        <v>296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7" t="s">
        <v>296</v>
      </c>
      <c r="D53" s="452" t="s">
        <v>296</v>
      </c>
      <c r="E53" s="452" t="s">
        <v>296</v>
      </c>
      <c r="F53" s="221" t="s">
        <v>296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385</v>
      </c>
      <c r="B54" s="464"/>
      <c r="C54" s="480" t="s">
        <v>296</v>
      </c>
      <c r="D54" s="487" t="s">
        <v>296</v>
      </c>
      <c r="E54" s="487" t="s">
        <v>296</v>
      </c>
      <c r="F54" s="487" t="s">
        <v>296</v>
      </c>
      <c r="G54" s="716" t="e">
        <f>G49+G50+G51+G52+G53</f>
        <v>#DIV/0!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296</v>
      </c>
      <c r="D55" s="452" t="s">
        <v>296</v>
      </c>
      <c r="E55" s="452" t="s">
        <v>296</v>
      </c>
      <c r="F55" s="221" t="s">
        <v>296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296</v>
      </c>
      <c r="D56" s="452" t="s">
        <v>296</v>
      </c>
      <c r="E56" s="452" t="s">
        <v>296</v>
      </c>
      <c r="F56" s="250" t="s">
        <v>296</v>
      </c>
      <c r="G56" s="705">
        <f>'спец инв'!K97</f>
        <v>270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296</v>
      </c>
      <c r="D57" s="459" t="s">
        <v>296</v>
      </c>
      <c r="E57" s="459" t="s">
        <v>296</v>
      </c>
      <c r="F57" s="221" t="s">
        <v>296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511</v>
      </c>
      <c r="B58" s="473"/>
      <c r="C58" s="738"/>
      <c r="D58" s="459"/>
      <c r="E58" s="459"/>
      <c r="F58" s="221"/>
      <c r="G58" s="520">
        <v>2876</v>
      </c>
      <c r="H58" s="362"/>
      <c r="I58" s="360"/>
      <c r="J58" s="360"/>
      <c r="K58" s="361"/>
      <c r="L58" s="363"/>
      <c r="M58" s="364"/>
      <c r="N58" s="365">
        <f>521.65+2714.44</f>
        <v>3236.09</v>
      </c>
      <c r="P58" s="22">
        <v>-2692.48</v>
      </c>
    </row>
    <row r="59" spans="1:16" s="21" customFormat="1" ht="29.25" customHeight="1" thickBot="1">
      <c r="A59" s="458" t="s">
        <v>386</v>
      </c>
      <c r="B59" s="468" t="s">
        <v>436</v>
      </c>
      <c r="C59" s="486" t="s">
        <v>296</v>
      </c>
      <c r="D59" s="488" t="s">
        <v>296</v>
      </c>
      <c r="E59" s="488" t="s">
        <v>296</v>
      </c>
      <c r="F59" s="488" t="s">
        <v>296</v>
      </c>
      <c r="G59" s="718">
        <f>G55+G56+G57+G58</f>
        <v>3312.068</v>
      </c>
      <c r="H59" s="362"/>
      <c r="I59" s="360"/>
      <c r="J59" s="360"/>
      <c r="K59" s="361"/>
      <c r="L59" s="363"/>
      <c r="M59" s="364"/>
      <c r="N59" s="365"/>
      <c r="P59" s="22" t="s">
        <v>729</v>
      </c>
    </row>
    <row r="60" spans="1:14" s="5" customFormat="1" ht="31.5" customHeight="1" thickBot="1">
      <c r="A60" s="376" t="s">
        <v>389</v>
      </c>
      <c r="B60" s="474"/>
      <c r="C60" s="739" t="s">
        <v>296</v>
      </c>
      <c r="D60" s="497" t="s">
        <v>296</v>
      </c>
      <c r="E60" s="497" t="s">
        <v>296</v>
      </c>
      <c r="F60" s="498" t="s">
        <v>296</v>
      </c>
      <c r="G60" s="719">
        <f>G19+G42+G59</f>
        <v>40284.47613606795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29081.37-28559.72</f>
        <v>521.6499999999978</v>
      </c>
    </row>
    <row r="61" spans="1:14" s="91" customFormat="1" ht="30.75" customHeight="1" thickBot="1">
      <c r="A61" s="495" t="s">
        <v>59</v>
      </c>
      <c r="B61" s="496"/>
      <c r="C61" s="740" t="s">
        <v>296</v>
      </c>
      <c r="D61" s="499" t="s">
        <v>296</v>
      </c>
      <c r="E61" s="499" t="s">
        <v>296</v>
      </c>
      <c r="F61" s="500" t="s">
        <v>296</v>
      </c>
      <c r="G61" s="686">
        <f>G60/D7/12</f>
        <v>3.0405214002406145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49" t="s">
        <v>758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439</v>
      </c>
    </row>
    <row r="3" spans="1:132" s="2" customFormat="1" ht="84" customHeight="1">
      <c r="A3" s="966" t="s">
        <v>0</v>
      </c>
      <c r="B3" s="156" t="s">
        <v>111</v>
      </c>
      <c r="C3" s="962" t="s">
        <v>2</v>
      </c>
      <c r="D3" s="962"/>
      <c r="E3" s="962" t="s">
        <v>269</v>
      </c>
      <c r="F3" s="41" t="s">
        <v>390</v>
      </c>
      <c r="G3" s="126" t="s">
        <v>290</v>
      </c>
      <c r="H3" s="204" t="s">
        <v>289</v>
      </c>
      <c r="I3" s="964" t="s">
        <v>43</v>
      </c>
      <c r="J3" s="965"/>
      <c r="K3" s="204" t="s">
        <v>291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67"/>
      <c r="B4" s="157"/>
      <c r="C4" s="531" t="s">
        <v>270</v>
      </c>
      <c r="D4" s="531" t="s">
        <v>14</v>
      </c>
      <c r="E4" s="963"/>
      <c r="F4" s="531" t="s">
        <v>400</v>
      </c>
      <c r="G4" s="532" t="s">
        <v>372</v>
      </c>
      <c r="H4" s="533" t="s">
        <v>401</v>
      </c>
      <c r="I4" s="534" t="s">
        <v>489</v>
      </c>
      <c r="J4" s="532" t="s">
        <v>402</v>
      </c>
      <c r="K4" s="533" t="s">
        <v>403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0.07854177215189874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8">
        <f>264.8*1.059</f>
        <v>280.4232</v>
      </c>
      <c r="H9" s="206">
        <f>F9*G9</f>
        <v>280.4232</v>
      </c>
      <c r="I9" s="287">
        <f>I7</f>
        <v>0.07854177215189874</v>
      </c>
      <c r="J9" s="413">
        <f>F9*I9</f>
        <v>0.07854177215189874</v>
      </c>
      <c r="K9" s="206">
        <f>H9*I9</f>
        <v>22.02493508050633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0.07854177215189874</v>
      </c>
      <c r="J10" s="413">
        <f>F10*I10</f>
        <v>0.47125063291139246</v>
      </c>
      <c r="K10" s="206">
        <f>H10*I10</f>
        <v>13.237430278481012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0.07854177215189874</v>
      </c>
      <c r="J11" s="413">
        <f>F11*I11</f>
        <v>0.07854177215189874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0.07854177215189874</v>
      </c>
      <c r="J12" s="413">
        <f>F12*I12</f>
        <v>0.31416708860759496</v>
      </c>
      <c r="K12" s="206">
        <f>H12*I12</f>
        <v>8.824953518987343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44.08731887797469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0.33047982403051496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371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0.33047982403051496</v>
      </c>
      <c r="J17" s="413">
        <f>F17*I17</f>
        <v>0.33047982403051496</v>
      </c>
      <c r="K17" s="206">
        <f>H17*I17</f>
        <v>185.48841083360713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0.33047982403051496</v>
      </c>
      <c r="J18" s="413">
        <f>F18*I18</f>
        <v>0.33047982403051496</v>
      </c>
      <c r="K18" s="206">
        <f>H18*I18</f>
        <v>18.56635651403433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0.33047982403051496</v>
      </c>
      <c r="J19" s="413">
        <f>F19*I19</f>
        <v>1.9828789441830899</v>
      </c>
      <c r="K19" s="206">
        <f>H19*I19</f>
        <v>77.97869735894419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0.33047982403051496</v>
      </c>
      <c r="J20" s="413">
        <f>F20*I20</f>
        <v>0.16523991201525748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0.33047982403051496</v>
      </c>
      <c r="J21" s="413">
        <f>F21*I21</f>
        <v>0.33047982403051496</v>
      </c>
      <c r="K21" s="206">
        <f>H21*I21</f>
        <v>129.8243721528514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411.85783685943704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0.07854177215189874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391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0.07854177215189874</v>
      </c>
      <c r="J36" s="413">
        <f aca="true" t="shared" si="2" ref="J36:J41">F36*I36</f>
        <v>0.9425012658227849</v>
      </c>
      <c r="K36" s="206">
        <f aca="true" t="shared" si="3" ref="K36:K42">H36*I36</f>
        <v>137.5693697620253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0.07854177215189874</v>
      </c>
      <c r="J37" s="413">
        <f t="shared" si="2"/>
        <v>0.07854177215189874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0.07854177215189874</v>
      </c>
      <c r="J38" s="413">
        <f t="shared" si="2"/>
        <v>0.07854177215189874</v>
      </c>
      <c r="K38" s="206">
        <f t="shared" si="3"/>
        <v>10.581618794936709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0.07854177215189874</v>
      </c>
      <c r="J39" s="413">
        <f t="shared" si="2"/>
        <v>0.07854177215189874</v>
      </c>
      <c r="K39" s="206">
        <f t="shared" si="3"/>
        <v>11.464114146835444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0.07854177215189874</v>
      </c>
      <c r="J40" s="413">
        <f t="shared" si="2"/>
        <v>0.03927088607594937</v>
      </c>
      <c r="K40" s="206">
        <f t="shared" si="3"/>
        <v>4.408314045569621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0.07854177215189874</v>
      </c>
      <c r="J41" s="413">
        <f t="shared" si="2"/>
        <v>0.07854177215189874</v>
      </c>
      <c r="K41" s="206">
        <f t="shared" si="3"/>
        <v>7.934132739240507</v>
      </c>
    </row>
    <row r="42" spans="1:132" s="1" customFormat="1" ht="13.5" thickBot="1">
      <c r="A42" s="47" t="s">
        <v>139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0.07854177215189874</v>
      </c>
      <c r="J42" s="413">
        <f>F42*I42</f>
        <v>0.07854177215189874</v>
      </c>
      <c r="K42" s="206">
        <f t="shared" si="3"/>
        <v>4.853724435443039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176.81127392405062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140</v>
      </c>
      <c r="B44" s="530" t="s">
        <v>410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55.4</v>
      </c>
      <c r="J44" s="744">
        <f>I44*F44</f>
        <v>1.3296</v>
      </c>
      <c r="K44" s="209">
        <f>H44*I44</f>
        <v>105.70320000000001</v>
      </c>
    </row>
    <row r="45" spans="1:11" ht="18.75" customHeight="1">
      <c r="A45" s="317" t="s">
        <v>441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0.33047982403051496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0.33047982403051496</v>
      </c>
      <c r="J47" s="413">
        <f aca="true" t="shared" si="6" ref="J47:J55">F47*I47</f>
        <v>10.602894354312353</v>
      </c>
      <c r="K47" s="206">
        <f aca="true" t="shared" si="7" ref="K47:K55">H47*I47</f>
        <v>713.6808189887645</v>
      </c>
    </row>
    <row r="48" spans="1:11" ht="12.75">
      <c r="A48" s="44" t="s">
        <v>151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0.33047982403051496</v>
      </c>
      <c r="J48" s="413">
        <f t="shared" si="6"/>
        <v>0.03029398386946387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0.33047982403051496</v>
      </c>
      <c r="J49" s="413">
        <f t="shared" si="6"/>
        <v>0.03029398386946387</v>
      </c>
      <c r="K49" s="206">
        <f t="shared" si="7"/>
        <v>6.801241730565594</v>
      </c>
    </row>
    <row r="50" spans="1:11" ht="12.75">
      <c r="A50" s="44" t="s">
        <v>507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0.33047982403051496</v>
      </c>
      <c r="J50" s="413">
        <f t="shared" si="6"/>
        <v>0.07573495967365967</v>
      </c>
      <c r="K50" s="206">
        <f t="shared" si="7"/>
        <v>9.352510170100233</v>
      </c>
    </row>
    <row r="51" spans="1:11" ht="12.75">
      <c r="A51" s="44" t="s">
        <v>508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0.33047982403051496</v>
      </c>
      <c r="J51" s="413">
        <f t="shared" si="6"/>
        <v>0.07573495967365967</v>
      </c>
      <c r="K51" s="206">
        <f t="shared" si="7"/>
        <v>9.352510170100233</v>
      </c>
    </row>
    <row r="52" spans="1:11" ht="12.75">
      <c r="A52" s="44" t="s">
        <v>440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0.33047982403051496</v>
      </c>
      <c r="J52" s="413">
        <f t="shared" si="6"/>
        <v>0.15146991934731935</v>
      </c>
      <c r="K52" s="206">
        <f t="shared" si="7"/>
        <v>72.25115152867133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0.33047982403051496</v>
      </c>
      <c r="J53" s="413">
        <f t="shared" si="6"/>
        <v>0.07573495967365967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8">
        <f>150*1.06</f>
        <v>159</v>
      </c>
      <c r="H54" s="209">
        <f t="shared" si="5"/>
        <v>72.875</v>
      </c>
      <c r="I54" s="287">
        <f>I45</f>
        <v>0.33047982403051496</v>
      </c>
      <c r="J54" s="413">
        <f t="shared" si="6"/>
        <v>0.15146991934731935</v>
      </c>
      <c r="K54" s="206">
        <f t="shared" si="7"/>
        <v>24.08371717622378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0.33047982403051496</v>
      </c>
      <c r="J55" s="413">
        <f t="shared" si="6"/>
        <v>0.07573495967365967</v>
      </c>
      <c r="K55" s="206">
        <f t="shared" si="7"/>
        <v>0</v>
      </c>
    </row>
    <row r="56" spans="1:132" s="39" customFormat="1" ht="15.75" customHeight="1" thickBot="1">
      <c r="A56" s="387" t="s">
        <v>194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835.5219497644257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442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0.33047982403051496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0.33047982403051496</v>
      </c>
      <c r="J60" s="413">
        <f aca="true" t="shared" si="10" ref="J60:J68">F60*I60</f>
        <v>0.059669968227731865</v>
      </c>
      <c r="K60" s="206">
        <f aca="true" t="shared" si="11" ref="K60:K68">H60*I60</f>
        <v>8.709547902456197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0.33047982403051496</v>
      </c>
      <c r="J61" s="413">
        <f t="shared" si="10"/>
        <v>0.059669968227731865</v>
      </c>
      <c r="K61" s="206">
        <f t="shared" si="11"/>
        <v>5.319338987629385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0.33047982403051496</v>
      </c>
      <c r="J62" s="413">
        <f t="shared" si="10"/>
        <v>0.17900990468319558</v>
      </c>
      <c r="K62" s="206">
        <f t="shared" si="11"/>
        <v>22.105933129327823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0.33047982403051496</v>
      </c>
      <c r="J63" s="413">
        <f t="shared" si="10"/>
        <v>9.487524948209368</v>
      </c>
      <c r="K63" s="206">
        <f t="shared" si="11"/>
        <v>638.6053042639726</v>
      </c>
    </row>
    <row r="64" spans="1:11" ht="12.75">
      <c r="A64" s="44" t="s">
        <v>39</v>
      </c>
      <c r="B64" s="158" t="s">
        <v>141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0.33047982403051496</v>
      </c>
      <c r="J64" s="413">
        <f t="shared" si="10"/>
        <v>47.25861483636364</v>
      </c>
      <c r="K64" s="206">
        <f t="shared" si="11"/>
        <v>125.23532931636366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0.33047982403051496</v>
      </c>
      <c r="J65" s="413">
        <f t="shared" si="10"/>
        <v>0.08950495234159779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0.33047982403051496</v>
      </c>
      <c r="J66" s="413">
        <f t="shared" si="10"/>
        <v>0.7160396187327823</v>
      </c>
      <c r="K66" s="206">
        <f t="shared" si="11"/>
        <v>96.46915367339282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0.33047982403051496</v>
      </c>
      <c r="J67" s="413">
        <f t="shared" si="10"/>
        <v>0.17900990468319558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0.33047982403051496</v>
      </c>
      <c r="J68" s="413">
        <f t="shared" si="10"/>
        <v>0.059669968227731865</v>
      </c>
      <c r="K68" s="206">
        <f t="shared" si="11"/>
        <v>33.522588150339764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193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929.9671954234822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1765.489145187908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443</v>
      </c>
      <c r="B71" s="554" t="s">
        <v>506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2.986</v>
      </c>
      <c r="J71" s="442">
        <f>F71*I71</f>
        <v>0.38220800000000005</v>
      </c>
      <c r="K71" s="206">
        <f>H71*I71</f>
        <v>235.02199244800005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9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152</v>
      </c>
      <c r="B83" s="279" t="s">
        <v>404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144</v>
      </c>
      <c r="B85" s="279" t="s">
        <v>271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490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142</v>
      </c>
      <c r="B89" s="279" t="s">
        <v>272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143</v>
      </c>
      <c r="B90" s="279" t="s">
        <v>273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304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274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392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373</v>
      </c>
      <c r="B96" s="161" t="s">
        <v>375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374</v>
      </c>
      <c r="B97" s="161" t="s">
        <v>393</v>
      </c>
      <c r="C97" s="77">
        <v>1</v>
      </c>
      <c r="D97" s="77">
        <v>27</v>
      </c>
      <c r="E97" s="77">
        <v>1</v>
      </c>
      <c r="F97" s="275">
        <v>27</v>
      </c>
      <c r="G97" s="104">
        <v>10</v>
      </c>
      <c r="H97" s="209">
        <f>F97*G97</f>
        <v>270</v>
      </c>
      <c r="I97" s="293"/>
      <c r="J97" s="422"/>
      <c r="K97" s="687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376</v>
      </c>
      <c r="B98" s="120" t="s">
        <v>394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3">
      <selection activeCell="H15" sqref="H15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68" t="s">
        <v>759</v>
      </c>
      <c r="C1" s="968"/>
      <c r="D1" s="968"/>
      <c r="E1" s="968"/>
      <c r="F1" s="968"/>
      <c r="G1" s="968"/>
      <c r="H1" s="968"/>
      <c r="I1" s="968"/>
      <c r="J1" s="219"/>
    </row>
    <row r="2" spans="1:10" ht="13.5" thickBot="1">
      <c r="A2" s="3"/>
      <c r="B2" s="29" t="s">
        <v>445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106</v>
      </c>
      <c r="B3" s="443" t="s">
        <v>446</v>
      </c>
      <c r="C3" s="443" t="s">
        <v>107</v>
      </c>
      <c r="D3" s="443" t="s">
        <v>108</v>
      </c>
      <c r="E3" s="443" t="s">
        <v>108</v>
      </c>
      <c r="F3" s="443" t="s">
        <v>109</v>
      </c>
      <c r="G3" s="154" t="s">
        <v>112</v>
      </c>
      <c r="H3" s="154" t="s">
        <v>281</v>
      </c>
      <c r="I3" s="508" t="s">
        <v>247</v>
      </c>
      <c r="J3" s="509" t="s">
        <v>266</v>
      </c>
    </row>
    <row r="4" spans="1:10" ht="36.75" thickBot="1">
      <c r="A4" s="510"/>
      <c r="B4" s="511"/>
      <c r="C4" s="511"/>
      <c r="D4" s="512"/>
      <c r="E4" s="511" t="s">
        <v>280</v>
      </c>
      <c r="F4" s="513" t="s">
        <v>279</v>
      </c>
      <c r="G4" s="295" t="s">
        <v>278</v>
      </c>
      <c r="H4" s="296" t="s">
        <v>277</v>
      </c>
      <c r="I4" s="514" t="s">
        <v>405</v>
      </c>
      <c r="J4" s="340" t="s">
        <v>282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181</v>
      </c>
      <c r="D6" s="516"/>
      <c r="E6" s="349"/>
      <c r="F6" s="349"/>
      <c r="G6" s="516"/>
      <c r="H6" s="517"/>
      <c r="I6" s="518"/>
      <c r="J6" s="519">
        <f>'Исход дан'!D11</f>
        <v>1104.1</v>
      </c>
    </row>
    <row r="7" spans="1:10" ht="51.75" customHeight="1">
      <c r="A7" s="42">
        <v>1</v>
      </c>
      <c r="B7" s="34" t="s">
        <v>448</v>
      </c>
      <c r="C7" s="783" t="s">
        <v>110</v>
      </c>
      <c r="D7" s="783" t="s">
        <v>164</v>
      </c>
      <c r="E7" s="784">
        <v>1</v>
      </c>
      <c r="F7" s="804">
        <f>'Исход дан'!D17</f>
        <v>10</v>
      </c>
      <c r="G7" s="784">
        <v>1</v>
      </c>
      <c r="H7" s="782">
        <f>5250*1.06*1.06/165.2*0.012*1.202</f>
        <v>0.5150468135593221</v>
      </c>
      <c r="I7" s="785">
        <f>F7/E7*G7*H7</f>
        <v>5.150468135593221</v>
      </c>
      <c r="J7" s="786">
        <f>I7/J$6/12</f>
        <v>0.0003887380472476242</v>
      </c>
    </row>
    <row r="8" spans="1:10" ht="33.75" customHeight="1">
      <c r="A8" s="42">
        <v>2</v>
      </c>
      <c r="B8" s="34" t="s">
        <v>449</v>
      </c>
      <c r="C8" s="783" t="s">
        <v>165</v>
      </c>
      <c r="D8" s="783" t="s">
        <v>164</v>
      </c>
      <c r="E8" s="784">
        <v>1</v>
      </c>
      <c r="F8" s="784">
        <f>'Исход дан'!D14</f>
        <v>495.8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450</v>
      </c>
      <c r="C9" s="783" t="s">
        <v>166</v>
      </c>
      <c r="D9" s="783" t="s">
        <v>164</v>
      </c>
      <c r="E9" s="784">
        <v>1</v>
      </c>
      <c r="F9" s="784">
        <f>'Исход дан'!D14</f>
        <v>495.8</v>
      </c>
      <c r="G9" s="784">
        <v>1</v>
      </c>
      <c r="H9" s="782">
        <f>5250*1.06*1.06/165.2*0.09*1.202*0.3</f>
        <v>1.1588553305084746</v>
      </c>
      <c r="I9" s="785">
        <f t="shared" si="0"/>
        <v>574.5604728661017</v>
      </c>
      <c r="J9" s="786">
        <f t="shared" si="1"/>
        <v>0.0433656728607087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451</v>
      </c>
      <c r="C10" s="803" t="s">
        <v>125</v>
      </c>
      <c r="D10" s="803" t="s">
        <v>126</v>
      </c>
      <c r="E10" s="826">
        <v>1</v>
      </c>
      <c r="F10" s="826">
        <f>'Исход дан'!D19</f>
        <v>36</v>
      </c>
      <c r="G10" s="826">
        <v>1</v>
      </c>
      <c r="H10" s="788">
        <f>8347.5*1.06*1.06/165.2*0.56*1.202</f>
        <v>38.2164735661017</v>
      </c>
      <c r="I10" s="827">
        <f t="shared" si="0"/>
        <v>1375.793048379661</v>
      </c>
      <c r="J10" s="828">
        <f t="shared" si="1"/>
        <v>0.10383970718078533</v>
      </c>
    </row>
    <row r="11" spans="1:10" ht="67.5" customHeight="1">
      <c r="A11" s="42">
        <v>5</v>
      </c>
      <c r="B11" s="803" t="s">
        <v>452</v>
      </c>
      <c r="C11" s="803" t="s">
        <v>116</v>
      </c>
      <c r="D11" s="803" t="s">
        <v>115</v>
      </c>
      <c r="E11" s="826">
        <v>1</v>
      </c>
      <c r="F11" s="795">
        <f>'Исход дан'!D20</f>
        <v>84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453</v>
      </c>
      <c r="C12" s="803" t="s">
        <v>145</v>
      </c>
      <c r="D12" s="803" t="s">
        <v>117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454</v>
      </c>
      <c r="C13" s="803" t="s">
        <v>398</v>
      </c>
      <c r="D13" s="803" t="s">
        <v>117</v>
      </c>
      <c r="E13" s="826">
        <v>1</v>
      </c>
      <c r="F13" s="826">
        <f>'Исход дан'!D22</f>
        <v>0</v>
      </c>
      <c r="G13" s="826">
        <v>1</v>
      </c>
      <c r="H13" s="788">
        <f>8347.5*1.06*1.06/165.2*0.33*1.202</f>
        <v>22.520421922881358</v>
      </c>
      <c r="I13" s="827">
        <f t="shared" si="0"/>
        <v>0</v>
      </c>
      <c r="J13" s="828">
        <f t="shared" si="1"/>
        <v>0</v>
      </c>
    </row>
    <row r="14" spans="1:13" ht="42" customHeight="1">
      <c r="A14" s="42">
        <v>8</v>
      </c>
      <c r="B14" s="803" t="s">
        <v>455</v>
      </c>
      <c r="C14" s="803" t="s">
        <v>478</v>
      </c>
      <c r="D14" s="803" t="s">
        <v>122</v>
      </c>
      <c r="E14" s="826">
        <v>1</v>
      </c>
      <c r="F14" s="826">
        <f>'Исход дан'!D26</f>
        <v>108</v>
      </c>
      <c r="G14" s="826">
        <v>1</v>
      </c>
      <c r="H14" s="788">
        <f>8347.5*1.06*1.06/165.2*0.26*1.202</f>
        <v>17.743362727118647</v>
      </c>
      <c r="I14" s="827">
        <f t="shared" si="0"/>
        <v>1916.283174528814</v>
      </c>
      <c r="J14" s="828">
        <f t="shared" si="1"/>
        <v>0.14463387785895104</v>
      </c>
      <c r="K14" s="973" t="s">
        <v>701</v>
      </c>
      <c r="L14" s="974"/>
      <c r="M14" s="974"/>
    </row>
    <row r="15" spans="1:14" ht="34.5" customHeight="1">
      <c r="A15" s="42">
        <v>9</v>
      </c>
      <c r="B15" s="829" t="s">
        <v>456</v>
      </c>
      <c r="C15" s="829" t="s">
        <v>123</v>
      </c>
      <c r="D15" s="829" t="s">
        <v>124</v>
      </c>
      <c r="E15" s="830">
        <v>100</v>
      </c>
      <c r="F15" s="830">
        <f>'Исход дан'!D18</f>
        <v>4249</v>
      </c>
      <c r="G15" s="830">
        <v>1</v>
      </c>
      <c r="H15" s="831">
        <f>17430*1.06*1.06/165.2*0.87*1.202*0.8</f>
        <v>99.17741441898306</v>
      </c>
      <c r="I15" s="832">
        <f t="shared" si="0"/>
        <v>4214.04833866259</v>
      </c>
      <c r="J15" s="833">
        <f t="shared" si="1"/>
        <v>0.3180605877081326</v>
      </c>
      <c r="K15" t="s">
        <v>513</v>
      </c>
      <c r="L15" s="972" t="s">
        <v>730</v>
      </c>
      <c r="M15" s="972"/>
      <c r="N15" s="876">
        <f>7114/154.68121*1.0852</f>
        <v>49.90982938393099</v>
      </c>
    </row>
    <row r="16" spans="1:11" ht="46.5" customHeight="1">
      <c r="A16" s="42">
        <v>10</v>
      </c>
      <c r="B16" s="829" t="s">
        <v>457</v>
      </c>
      <c r="C16" s="829" t="s">
        <v>127</v>
      </c>
      <c r="D16" s="829" t="s">
        <v>128</v>
      </c>
      <c r="E16" s="830">
        <v>100</v>
      </c>
      <c r="F16" s="830">
        <f>'Исход дан'!D23</f>
        <v>526</v>
      </c>
      <c r="G16" s="830">
        <v>1</v>
      </c>
      <c r="H16" s="831">
        <f>17430*1.06*1.06/165.2*7.7*1.202*0.8</f>
        <v>877.777116122034</v>
      </c>
      <c r="I16" s="832">
        <f t="shared" si="0"/>
        <v>4617.107630801899</v>
      </c>
      <c r="J16" s="833">
        <f t="shared" si="1"/>
        <v>0.34848199369032845</v>
      </c>
      <c r="K16" t="s">
        <v>512</v>
      </c>
    </row>
    <row r="17" spans="1:14" ht="61.5" customHeight="1">
      <c r="A17" s="42">
        <v>11</v>
      </c>
      <c r="B17" s="34" t="s">
        <v>458</v>
      </c>
      <c r="C17" s="34" t="s">
        <v>121</v>
      </c>
      <c r="D17" s="34" t="s">
        <v>120</v>
      </c>
      <c r="E17" s="221">
        <v>1</v>
      </c>
      <c r="F17" s="221">
        <f>'Исход дан'!D25</f>
        <v>4</v>
      </c>
      <c r="G17" s="221">
        <v>1</v>
      </c>
      <c r="H17" s="448">
        <f>17430*1.06*1.06/165.2*4.1*1.202</f>
        <v>584.2347688474576</v>
      </c>
      <c r="I17" s="235">
        <f t="shared" si="0"/>
        <v>2336.9390753898306</v>
      </c>
      <c r="J17" s="688">
        <f t="shared" si="1"/>
        <v>0.1763834099711553</v>
      </c>
      <c r="K17" s="793" t="s">
        <v>514</v>
      </c>
      <c r="L17" s="975" t="s">
        <v>702</v>
      </c>
      <c r="M17" s="975"/>
      <c r="N17" s="877" t="s">
        <v>731</v>
      </c>
    </row>
    <row r="18" spans="1:14" ht="56.25" customHeight="1">
      <c r="A18" s="42">
        <v>12</v>
      </c>
      <c r="B18" s="34" t="s">
        <v>459</v>
      </c>
      <c r="C18" s="34" t="s">
        <v>113</v>
      </c>
      <c r="D18" s="34" t="s">
        <v>114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9082.5*1.06*1.06/165.2*0.58*1.202*3</f>
        <v>129.19949318135596</v>
      </c>
      <c r="I18" s="235">
        <f t="shared" si="0"/>
        <v>516.7979727254238</v>
      </c>
      <c r="J18" s="688">
        <f t="shared" si="1"/>
        <v>0.03900597566082661</v>
      </c>
      <c r="K18" s="793" t="s">
        <v>515</v>
      </c>
      <c r="L18" s="972" t="s">
        <v>703</v>
      </c>
      <c r="M18" s="972"/>
      <c r="N18" s="819" t="s">
        <v>732</v>
      </c>
    </row>
    <row r="19" spans="1:10" ht="29.25" customHeight="1">
      <c r="A19" s="42">
        <v>13</v>
      </c>
      <c r="B19" s="34" t="s">
        <v>460</v>
      </c>
      <c r="C19" s="34" t="s">
        <v>118</v>
      </c>
      <c r="D19" s="34" t="s">
        <v>119</v>
      </c>
      <c r="E19" s="221">
        <v>1</v>
      </c>
      <c r="F19" s="221">
        <f>'Исход дан'!D27</f>
        <v>0</v>
      </c>
      <c r="G19" s="221">
        <v>1</v>
      </c>
      <c r="H19" s="448">
        <f>9082.5*1.06*1.06/165.2*3.24*1.202</f>
        <v>240.57836661355938</v>
      </c>
      <c r="I19" s="235">
        <f t="shared" si="0"/>
        <v>0</v>
      </c>
      <c r="J19" s="688">
        <f t="shared" si="1"/>
        <v>0</v>
      </c>
    </row>
    <row r="20" spans="1:13" ht="30.75" customHeight="1">
      <c r="A20" s="42">
        <v>14</v>
      </c>
      <c r="B20" s="34" t="s">
        <v>460</v>
      </c>
      <c r="C20" s="34" t="s">
        <v>146</v>
      </c>
      <c r="D20" s="34" t="s">
        <v>119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</f>
        <v>240.57836661355938</v>
      </c>
      <c r="I20" s="235">
        <f t="shared" si="0"/>
        <v>240.57836661355938</v>
      </c>
      <c r="J20" s="688">
        <f t="shared" si="1"/>
        <v>0.018157954186936526</v>
      </c>
      <c r="L20" s="976" t="s">
        <v>739</v>
      </c>
      <c r="M20" s="976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510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467</v>
      </c>
      <c r="C24" s="746"/>
      <c r="D24" s="746"/>
      <c r="E24" s="746"/>
      <c r="F24" s="746"/>
      <c r="G24" s="746"/>
      <c r="H24" s="746"/>
      <c r="I24" s="747">
        <f>SUM(I7:I20)</f>
        <v>15797.258548103471</v>
      </c>
      <c r="J24" s="748">
        <f>I24/J6/12</f>
        <v>1.1923179171650722</v>
      </c>
      <c r="K24" t="s">
        <v>517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447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129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461</v>
      </c>
      <c r="C28" s="34" t="s">
        <v>246</v>
      </c>
      <c r="D28" s="34" t="s">
        <v>131</v>
      </c>
      <c r="E28" s="221">
        <v>1000</v>
      </c>
      <c r="F28" s="749">
        <f>'Исход дан'!D11</f>
        <v>1104.1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462</v>
      </c>
      <c r="C29" s="803" t="s">
        <v>315</v>
      </c>
      <c r="D29" s="34" t="s">
        <v>130</v>
      </c>
      <c r="E29" s="221">
        <v>1000</v>
      </c>
      <c r="F29" s="221">
        <f>'Исход дан'!D17</f>
        <v>10</v>
      </c>
      <c r="G29" s="221">
        <v>7</v>
      </c>
      <c r="H29" s="448">
        <f>9082.5*1.06*1.06/165.2*4*1.202*1.1</f>
        <v>326.71136206779664</v>
      </c>
      <c r="I29" s="235">
        <f>F29/E29*G29*H29</f>
        <v>22.869795344745768</v>
      </c>
      <c r="J29" s="688">
        <f aca="true" t="shared" si="3" ref="J29:J38">I29/J$6/12</f>
        <v>0.001726126509128534</v>
      </c>
      <c r="K29" s="793" t="s">
        <v>516</v>
      </c>
    </row>
    <row r="30" spans="1:10" ht="67.5" customHeight="1">
      <c r="A30" s="42">
        <v>2</v>
      </c>
      <c r="B30" s="34" t="s">
        <v>462</v>
      </c>
      <c r="C30" s="803" t="s">
        <v>316</v>
      </c>
      <c r="D30" s="34" t="s">
        <v>130</v>
      </c>
      <c r="E30" s="221">
        <v>1000</v>
      </c>
      <c r="F30" s="221">
        <f>'Исход дан'!D17</f>
        <v>10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463</v>
      </c>
      <c r="C31" s="803" t="s">
        <v>444</v>
      </c>
      <c r="D31" s="34" t="s">
        <v>167</v>
      </c>
      <c r="E31" s="221">
        <v>1</v>
      </c>
      <c r="F31" s="221">
        <f>'Исход дан'!D5</f>
        <v>24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464</v>
      </c>
      <c r="C32" s="803" t="s">
        <v>317</v>
      </c>
      <c r="D32" s="34" t="s">
        <v>130</v>
      </c>
      <c r="E32" s="750">
        <v>1000</v>
      </c>
      <c r="F32" s="221">
        <f>'Исход дан'!D17</f>
        <v>10</v>
      </c>
      <c r="G32" s="221">
        <v>12</v>
      </c>
      <c r="H32" s="448">
        <f>9082.5*1.06*1.06/165.2*4*1.202</f>
        <v>297.0103291525424</v>
      </c>
      <c r="I32" s="235">
        <f t="shared" si="2"/>
        <v>35.64123949830508</v>
      </c>
      <c r="J32" s="688">
        <f t="shared" si="3"/>
        <v>0.0026900672869535586</v>
      </c>
      <c r="K32" s="793" t="s">
        <v>516</v>
      </c>
    </row>
    <row r="33" spans="1:10" ht="40.5" customHeight="1">
      <c r="A33" s="42">
        <v>5</v>
      </c>
      <c r="B33" s="34" t="s">
        <v>464</v>
      </c>
      <c r="C33" s="34" t="s">
        <v>310</v>
      </c>
      <c r="D33" s="34" t="s">
        <v>130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465</v>
      </c>
      <c r="C34" s="34" t="s">
        <v>132</v>
      </c>
      <c r="D34" s="34" t="s">
        <v>133</v>
      </c>
      <c r="E34" s="221">
        <v>100</v>
      </c>
      <c r="F34" s="221">
        <f>'Исход дан'!D33*'Исход дан'!D34</f>
        <v>6</v>
      </c>
      <c r="G34" s="221">
        <v>4</v>
      </c>
      <c r="H34" s="448">
        <f>9082.5*1.06*1.06/165.2*9*1.202</f>
        <v>668.2732405932204</v>
      </c>
      <c r="I34" s="235">
        <f t="shared" si="2"/>
        <v>160.3855777423729</v>
      </c>
      <c r="J34" s="688">
        <f t="shared" si="3"/>
        <v>0.012105302791291015</v>
      </c>
    </row>
    <row r="35" spans="1:10" ht="66" customHeight="1">
      <c r="A35" s="42">
        <v>7</v>
      </c>
      <c r="B35" s="34" t="s">
        <v>466</v>
      </c>
      <c r="C35" s="34" t="s">
        <v>134</v>
      </c>
      <c r="D35" s="34" t="s">
        <v>509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496</v>
      </c>
      <c r="C36" s="34" t="s">
        <v>379</v>
      </c>
      <c r="D36" s="34" t="s">
        <v>136</v>
      </c>
      <c r="E36" s="221">
        <v>1000</v>
      </c>
      <c r="F36" s="749">
        <f>'Исход дан'!D12</f>
        <v>1104.1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496</v>
      </c>
      <c r="C37" s="34" t="s">
        <v>135</v>
      </c>
      <c r="D37" s="34" t="s">
        <v>136</v>
      </c>
      <c r="E37" s="221">
        <v>1000</v>
      </c>
      <c r="F37" s="221">
        <f>'Исход дан'!D17</f>
        <v>10</v>
      </c>
      <c r="G37" s="221">
        <v>4</v>
      </c>
      <c r="H37" s="448">
        <f>9082.5*1.06*1.06/165.2*8*1.202</f>
        <v>594.0206583050848</v>
      </c>
      <c r="I37" s="235">
        <f t="shared" si="2"/>
        <v>23.760826332203393</v>
      </c>
      <c r="J37" s="688">
        <f t="shared" si="3"/>
        <v>0.0017933781913023726</v>
      </c>
    </row>
    <row r="38" spans="1:10" ht="28.5" customHeight="1">
      <c r="A38" s="745">
        <v>10</v>
      </c>
      <c r="B38" s="746" t="s">
        <v>137</v>
      </c>
      <c r="C38" s="746"/>
      <c r="D38" s="746"/>
      <c r="E38" s="746"/>
      <c r="F38" s="746"/>
      <c r="G38" s="746"/>
      <c r="H38" s="746"/>
      <c r="I38" s="747">
        <f>SUM(I28:I37)</f>
        <v>242.65743891762713</v>
      </c>
      <c r="J38" s="748">
        <f t="shared" si="3"/>
        <v>0.018314874778675477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138</v>
      </c>
      <c r="C40" s="9"/>
      <c r="D40" s="9"/>
      <c r="E40" s="9"/>
      <c r="F40" s="9"/>
      <c r="G40" s="9"/>
      <c r="H40" s="9"/>
      <c r="I40" s="111">
        <f>I24+I38</f>
        <v>16039.915987021099</v>
      </c>
      <c r="J40" s="342">
        <f>I40/J6/12</f>
        <v>1.2106327919437476</v>
      </c>
      <c r="K40" s="970"/>
      <c r="L40" s="971"/>
      <c r="M40" s="971"/>
    </row>
    <row r="41" spans="1:13" ht="108" thickBot="1">
      <c r="A41" s="528"/>
      <c r="B41" s="523"/>
      <c r="C41" s="821" t="s">
        <v>694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81"/>
      <c r="L41" s="881"/>
      <c r="M41" s="881"/>
    </row>
    <row r="42" spans="1:13" ht="19.5">
      <c r="A42" s="136"/>
      <c r="B42" s="34"/>
      <c r="C42" s="886" t="s">
        <v>707</v>
      </c>
      <c r="D42" s="34"/>
      <c r="E42" s="34"/>
      <c r="F42" s="34"/>
      <c r="G42" s="34"/>
      <c r="H42" s="34"/>
      <c r="I42" s="887">
        <v>10500.26</v>
      </c>
      <c r="J42" s="442"/>
      <c r="K42" s="881"/>
      <c r="L42" s="881"/>
      <c r="M42" s="881"/>
    </row>
    <row r="43" spans="1:13" ht="12.75">
      <c r="A43" s="136"/>
      <c r="B43" s="34"/>
      <c r="C43" s="821" t="s">
        <v>709</v>
      </c>
      <c r="D43" s="34"/>
      <c r="E43" s="34"/>
      <c r="F43" s="34"/>
      <c r="G43" s="34"/>
      <c r="H43" s="34"/>
      <c r="I43" s="823">
        <v>1582.2</v>
      </c>
      <c r="J43" s="442"/>
      <c r="K43" s="881"/>
      <c r="L43" s="881"/>
      <c r="M43" s="881"/>
    </row>
    <row r="44" spans="1:13" ht="12.75">
      <c r="A44" s="136"/>
      <c r="B44" s="136"/>
      <c r="C44" s="838" t="s">
        <v>710</v>
      </c>
      <c r="D44" s="136"/>
      <c r="E44" s="136"/>
      <c r="F44" s="136"/>
      <c r="G44" s="136"/>
      <c r="H44" s="136"/>
      <c r="I44" s="839">
        <v>1091.7</v>
      </c>
      <c r="J44" s="840"/>
      <c r="K44" s="881"/>
      <c r="L44" s="881"/>
      <c r="M44" s="881"/>
    </row>
    <row r="45" spans="1:13" ht="12.75">
      <c r="A45" s="136"/>
      <c r="B45" s="136"/>
      <c r="C45" s="838" t="s">
        <v>711</v>
      </c>
      <c r="D45" s="136"/>
      <c r="E45" s="136"/>
      <c r="F45" s="136"/>
      <c r="G45" s="136"/>
      <c r="H45" s="136"/>
      <c r="I45" s="839">
        <v>3399.96</v>
      </c>
      <c r="J45" s="840"/>
      <c r="K45" s="881"/>
      <c r="L45" s="881"/>
      <c r="M45" s="881"/>
    </row>
    <row r="46" spans="1:13" ht="12.75">
      <c r="A46" s="136"/>
      <c r="B46" s="136"/>
      <c r="C46" s="838" t="s">
        <v>712</v>
      </c>
      <c r="D46" s="136"/>
      <c r="E46" s="136"/>
      <c r="F46" s="136"/>
      <c r="G46" s="136"/>
      <c r="H46" s="136"/>
      <c r="I46" s="839">
        <v>4221.4</v>
      </c>
      <c r="J46" s="840"/>
      <c r="K46" s="881"/>
      <c r="L46" s="881"/>
      <c r="M46" s="881"/>
    </row>
    <row r="47" spans="1:15" ht="12.75">
      <c r="A47" s="136"/>
      <c r="B47" s="136"/>
      <c r="C47" s="838" t="s">
        <v>734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77" t="s">
        <v>737</v>
      </c>
      <c r="L47" s="978"/>
      <c r="M47" s="978"/>
      <c r="N47" s="978"/>
      <c r="O47" s="978"/>
    </row>
    <row r="48" spans="1:13" ht="12.75">
      <c r="A48" s="136"/>
      <c r="B48" s="136"/>
      <c r="C48" s="838" t="s">
        <v>738</v>
      </c>
      <c r="D48" s="136"/>
      <c r="E48" s="136"/>
      <c r="F48" s="136"/>
      <c r="G48" s="136"/>
      <c r="H48" s="136"/>
      <c r="I48" s="839">
        <v>648.11</v>
      </c>
      <c r="J48" s="840"/>
      <c r="K48" s="881"/>
      <c r="L48" s="881"/>
      <c r="M48" s="881"/>
    </row>
    <row r="49" spans="1:15" ht="12.75">
      <c r="A49" s="136"/>
      <c r="B49" s="136"/>
      <c r="C49" s="838" t="s">
        <v>746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79" t="s">
        <v>740</v>
      </c>
      <c r="L49" s="980"/>
      <c r="M49" s="980"/>
      <c r="N49" s="980"/>
      <c r="O49" s="980"/>
    </row>
    <row r="50" spans="1:15" ht="12.75">
      <c r="A50" s="136"/>
      <c r="B50" s="136"/>
      <c r="C50" s="838" t="s">
        <v>747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79" t="s">
        <v>741</v>
      </c>
      <c r="L50" s="980"/>
      <c r="M50" s="980"/>
      <c r="N50" s="980"/>
      <c r="O50" s="980"/>
    </row>
    <row r="51" spans="1:15" ht="12.75">
      <c r="A51" s="136"/>
      <c r="B51" s="136"/>
      <c r="C51" s="838" t="s">
        <v>750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83"/>
      <c r="L51" s="884"/>
      <c r="M51" s="884"/>
      <c r="N51" s="884"/>
      <c r="O51" s="884"/>
    </row>
    <row r="52" spans="1:15" ht="12.75">
      <c r="A52" s="136"/>
      <c r="B52" s="136"/>
      <c r="C52" s="838" t="s">
        <v>749</v>
      </c>
      <c r="D52" s="136"/>
      <c r="E52" s="136"/>
      <c r="F52" s="136"/>
      <c r="G52" s="136"/>
      <c r="H52" s="136"/>
      <c r="I52" s="839">
        <v>205</v>
      </c>
      <c r="J52" s="840"/>
      <c r="K52" s="883"/>
      <c r="L52" s="884"/>
      <c r="M52" s="884"/>
      <c r="N52" s="884"/>
      <c r="O52" s="884"/>
    </row>
    <row r="53" spans="1:15" ht="12.75">
      <c r="A53" s="136"/>
      <c r="B53" s="136"/>
      <c r="C53" s="838" t="s">
        <v>748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82" t="s">
        <v>751</v>
      </c>
      <c r="L53" s="983"/>
      <c r="M53" s="983"/>
      <c r="N53" s="983"/>
      <c r="O53" s="983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79" t="s">
        <v>742</v>
      </c>
      <c r="L54" s="980"/>
      <c r="M54" s="980"/>
      <c r="N54" s="980"/>
      <c r="O54" s="980"/>
    </row>
    <row r="55" spans="1:15" ht="25.5" customHeight="1">
      <c r="A55" s="969" t="s">
        <v>495</v>
      </c>
      <c r="B55" s="969"/>
      <c r="C55" s="969"/>
      <c r="D55" s="969"/>
      <c r="E55" s="969"/>
      <c r="F55" s="969"/>
      <c r="G55" s="969"/>
      <c r="H55" s="969"/>
      <c r="I55" s="969"/>
      <c r="J55" s="969"/>
      <c r="K55" s="984" t="s">
        <v>743</v>
      </c>
      <c r="L55" s="984"/>
      <c r="M55" s="984"/>
      <c r="N55" s="984"/>
      <c r="O55" s="984"/>
    </row>
    <row r="56" spans="1:11" ht="25.5">
      <c r="A56" t="s">
        <v>519</v>
      </c>
      <c r="B56" s="808"/>
      <c r="C56" s="880" t="s">
        <v>704</v>
      </c>
      <c r="D56" s="808" t="s">
        <v>56</v>
      </c>
      <c r="E56" s="808"/>
      <c r="F56" s="808"/>
      <c r="G56" s="808"/>
      <c r="H56" s="808"/>
      <c r="I56" s="885">
        <f>648.11</f>
        <v>648.11</v>
      </c>
      <c r="J56" s="818">
        <f>I56/1440.19/12</f>
        <v>0.03750141763702474</v>
      </c>
      <c r="K56" s="793"/>
    </row>
    <row r="57" spans="1:10" ht="12.75">
      <c r="A57" t="s">
        <v>518</v>
      </c>
      <c r="B57" s="808"/>
      <c r="C57" s="835" t="s">
        <v>520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531</v>
      </c>
      <c r="C58" s="811" t="s">
        <v>526</v>
      </c>
      <c r="D58" s="808" t="s">
        <v>521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528</v>
      </c>
      <c r="L58">
        <v>4.5</v>
      </c>
    </row>
    <row r="59" spans="2:12" ht="38.25">
      <c r="B59" s="808" t="s">
        <v>532</v>
      </c>
      <c r="C59" s="811" t="s">
        <v>541</v>
      </c>
      <c r="D59" s="808" t="s">
        <v>523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527</v>
      </c>
      <c r="L59">
        <v>3.4</v>
      </c>
    </row>
    <row r="60" spans="2:12" ht="12.75">
      <c r="B60" s="808" t="s">
        <v>533</v>
      </c>
      <c r="C60" s="811" t="s">
        <v>524</v>
      </c>
      <c r="D60" s="808" t="s">
        <v>525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534</v>
      </c>
      <c r="C61" s="811" t="s">
        <v>529</v>
      </c>
      <c r="D61" s="808" t="s">
        <v>530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536</v>
      </c>
      <c r="C62" s="811" t="s">
        <v>535</v>
      </c>
      <c r="D62" s="808" t="s">
        <v>164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542</v>
      </c>
      <c r="C63" s="811" t="s">
        <v>543</v>
      </c>
      <c r="D63" s="808" t="s">
        <v>539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540</v>
      </c>
      <c r="L63">
        <v>5.3</v>
      </c>
    </row>
    <row r="64" spans="2:11" ht="12.75">
      <c r="B64" s="808" t="s">
        <v>537</v>
      </c>
      <c r="C64" s="811" t="s">
        <v>538</v>
      </c>
      <c r="D64" s="808" t="s">
        <v>539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546</v>
      </c>
      <c r="C65" s="811" t="s">
        <v>550</v>
      </c>
      <c r="D65" s="808" t="s">
        <v>545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544</v>
      </c>
      <c r="C66" s="811" t="s">
        <v>551</v>
      </c>
      <c r="D66" s="808" t="s">
        <v>545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549</v>
      </c>
      <c r="C67" s="810" t="s">
        <v>547</v>
      </c>
      <c r="D67" s="808" t="s">
        <v>548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744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552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553</v>
      </c>
      <c r="C70" s="810" t="s">
        <v>554</v>
      </c>
      <c r="D70" s="808" t="s">
        <v>555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556</v>
      </c>
      <c r="D71" s="808" t="s">
        <v>567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557</v>
      </c>
      <c r="D72" s="808" t="s">
        <v>573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558</v>
      </c>
      <c r="C73" s="810" t="s">
        <v>559</v>
      </c>
      <c r="D73" s="808" t="s">
        <v>523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560</v>
      </c>
      <c r="D74" s="808" t="s">
        <v>523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561</v>
      </c>
      <c r="C75" s="810" t="s">
        <v>562</v>
      </c>
      <c r="D75" s="808" t="s">
        <v>564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563</v>
      </c>
      <c r="D76" s="808" t="s">
        <v>564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565</v>
      </c>
      <c r="C77" s="810" t="s">
        <v>566</v>
      </c>
      <c r="D77" s="808" t="s">
        <v>567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568</v>
      </c>
      <c r="C78" s="810" t="s">
        <v>570</v>
      </c>
      <c r="D78" s="808" t="s">
        <v>569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706</v>
      </c>
      <c r="D79" s="808" t="s">
        <v>555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571</v>
      </c>
      <c r="C80" s="810" t="s">
        <v>572</v>
      </c>
      <c r="D80" s="808" t="s">
        <v>320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576</v>
      </c>
      <c r="C81" s="810" t="s">
        <v>574</v>
      </c>
      <c r="D81" s="808" t="s">
        <v>575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658</v>
      </c>
      <c r="C83" s="802" t="s">
        <v>644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645</v>
      </c>
      <c r="D84" s="797" t="s">
        <v>659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660</v>
      </c>
      <c r="D85" s="797" t="s">
        <v>611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661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662</v>
      </c>
      <c r="D87" s="797" t="s">
        <v>663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697</v>
      </c>
      <c r="D88" s="797"/>
      <c r="E88" s="797"/>
      <c r="F88" s="797"/>
      <c r="G88" s="797"/>
      <c r="H88" s="797"/>
      <c r="I88" s="882">
        <f>I84+I85</f>
        <v>93.9625330573366</v>
      </c>
      <c r="J88" s="800"/>
      <c r="K88" s="981"/>
      <c r="L88" s="956"/>
      <c r="M88" s="956"/>
      <c r="N88" s="956"/>
    </row>
    <row r="89" spans="2:14" ht="12.75">
      <c r="B89" s="797"/>
      <c r="C89" s="802" t="s">
        <v>698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81"/>
      <c r="L89" s="956"/>
      <c r="M89" s="956"/>
      <c r="N89" s="956"/>
    </row>
    <row r="90" spans="2:12" ht="12.75">
      <c r="B90" s="797"/>
      <c r="C90" s="797" t="s">
        <v>699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81" t="s">
        <v>745</v>
      </c>
      <c r="L90" s="956"/>
    </row>
    <row r="91" spans="2:11" ht="12.75">
      <c r="B91" s="797"/>
      <c r="C91" s="834" t="s">
        <v>700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705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708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578</v>
      </c>
      <c r="C95" s="810" t="s">
        <v>577</v>
      </c>
      <c r="D95" s="808"/>
      <c r="E95" s="808"/>
      <c r="F95" s="808"/>
      <c r="G95" s="808"/>
      <c r="H95" s="808"/>
      <c r="I95" s="808"/>
      <c r="J95" s="808"/>
      <c r="L95" s="793" t="s">
        <v>649</v>
      </c>
      <c r="M95" s="793" t="s">
        <v>651</v>
      </c>
    </row>
    <row r="96" spans="2:13" ht="12.75">
      <c r="B96" s="808"/>
      <c r="C96" s="810" t="s">
        <v>580</v>
      </c>
      <c r="D96" s="808" t="s">
        <v>579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650</v>
      </c>
      <c r="M96" t="s">
        <v>652</v>
      </c>
    </row>
    <row r="97" spans="2:13" ht="12.75">
      <c r="B97" s="808"/>
      <c r="C97" s="810" t="s">
        <v>581</v>
      </c>
      <c r="D97" s="808" t="s">
        <v>579</v>
      </c>
      <c r="E97" s="808"/>
      <c r="F97" s="808"/>
      <c r="G97" s="808"/>
      <c r="H97" s="808">
        <v>0.54</v>
      </c>
      <c r="I97" s="808"/>
      <c r="J97" s="808"/>
      <c r="L97" t="s">
        <v>548</v>
      </c>
      <c r="M97" t="s">
        <v>653</v>
      </c>
    </row>
    <row r="98" spans="2:13" ht="12.75">
      <c r="B98" s="808"/>
      <c r="C98" s="810" t="s">
        <v>654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655</v>
      </c>
    </row>
    <row r="99" spans="2:12" ht="51">
      <c r="B99" s="808" t="s">
        <v>582</v>
      </c>
      <c r="C99" s="810" t="s">
        <v>583</v>
      </c>
      <c r="D99" s="808" t="s">
        <v>584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657</v>
      </c>
    </row>
    <row r="100" spans="2:12" ht="76.5">
      <c r="B100" s="808" t="s">
        <v>585</v>
      </c>
      <c r="C100" s="810" t="s">
        <v>586</v>
      </c>
      <c r="D100" s="811" t="s">
        <v>587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656</v>
      </c>
    </row>
    <row r="101" spans="2:11" ht="38.25">
      <c r="B101" s="808" t="s">
        <v>588</v>
      </c>
      <c r="C101" s="810" t="s">
        <v>589</v>
      </c>
      <c r="D101" s="808" t="s">
        <v>590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592</v>
      </c>
      <c r="C102" s="810" t="s">
        <v>591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634</v>
      </c>
    </row>
    <row r="103" spans="2:12" ht="89.25">
      <c r="B103" s="808" t="s">
        <v>593</v>
      </c>
      <c r="C103" s="810" t="s">
        <v>594</v>
      </c>
      <c r="D103" s="808" t="s">
        <v>575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646</v>
      </c>
    </row>
    <row r="104" spans="2:12" ht="25.5">
      <c r="B104" s="808" t="s">
        <v>597</v>
      </c>
      <c r="C104" s="810" t="s">
        <v>595</v>
      </c>
      <c r="D104" s="808" t="s">
        <v>596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635</v>
      </c>
    </row>
    <row r="105" spans="2:12" ht="76.5">
      <c r="B105" s="808" t="s">
        <v>598</v>
      </c>
      <c r="C105" s="812" t="s">
        <v>673</v>
      </c>
      <c r="D105" s="813" t="s">
        <v>596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647</v>
      </c>
    </row>
    <row r="106" spans="2:12" ht="12.75">
      <c r="B106" s="808" t="s">
        <v>674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668</v>
      </c>
      <c r="D107" s="813" t="s">
        <v>667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669</v>
      </c>
      <c r="D108" s="813" t="s">
        <v>665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601</v>
      </c>
      <c r="C109" s="810" t="s">
        <v>599</v>
      </c>
      <c r="D109" s="808" t="s">
        <v>600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604</v>
      </c>
      <c r="C110" s="810" t="s">
        <v>602</v>
      </c>
      <c r="D110" s="808" t="s">
        <v>603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607</v>
      </c>
      <c r="C111" s="810" t="s">
        <v>605</v>
      </c>
      <c r="D111" s="808" t="s">
        <v>606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610</v>
      </c>
      <c r="C112" s="810" t="s">
        <v>608</v>
      </c>
      <c r="D112" s="808" t="s">
        <v>609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641</v>
      </c>
    </row>
    <row r="113" spans="2:12" ht="25.5">
      <c r="B113" s="808" t="s">
        <v>610</v>
      </c>
      <c r="C113" s="810" t="s">
        <v>612</v>
      </c>
      <c r="D113" s="808" t="s">
        <v>611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640</v>
      </c>
    </row>
    <row r="114" spans="2:12" ht="12.75">
      <c r="B114" s="808"/>
      <c r="C114" s="810" t="s">
        <v>613</v>
      </c>
      <c r="D114" s="808"/>
      <c r="E114" s="808"/>
      <c r="F114" s="808"/>
      <c r="G114" s="808"/>
      <c r="H114" s="808">
        <v>1.4</v>
      </c>
      <c r="I114" s="808"/>
      <c r="J114" s="808"/>
      <c r="L114" t="s">
        <v>640</v>
      </c>
    </row>
    <row r="115" spans="2:12" ht="25.5">
      <c r="B115" s="808"/>
      <c r="C115" s="810" t="s">
        <v>614</v>
      </c>
      <c r="D115" s="808"/>
      <c r="E115" s="808"/>
      <c r="F115" s="808"/>
      <c r="G115" s="808"/>
      <c r="H115" s="808">
        <v>0.15</v>
      </c>
      <c r="I115" s="808"/>
      <c r="J115" s="808"/>
      <c r="L115" t="s">
        <v>639</v>
      </c>
    </row>
    <row r="116" spans="2:12" ht="38.25">
      <c r="B116" s="808" t="s">
        <v>642</v>
      </c>
      <c r="C116" s="810" t="s">
        <v>643</v>
      </c>
      <c r="D116" s="808" t="s">
        <v>596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637</v>
      </c>
    </row>
    <row r="117" spans="2:12" ht="12.75">
      <c r="B117" s="808"/>
      <c r="C117" s="810" t="s">
        <v>664</v>
      </c>
      <c r="D117" s="808" t="s">
        <v>596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615</v>
      </c>
      <c r="C118" s="810" t="s">
        <v>616</v>
      </c>
      <c r="D118" s="808" t="s">
        <v>617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638</v>
      </c>
    </row>
    <row r="119" spans="2:11" ht="25.5">
      <c r="B119" s="808" t="s">
        <v>618</v>
      </c>
      <c r="C119" s="812" t="s">
        <v>619</v>
      </c>
      <c r="D119" s="813" t="s">
        <v>596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620</v>
      </c>
      <c r="D120" s="811" t="s">
        <v>648</v>
      </c>
      <c r="E120" s="808"/>
      <c r="F120" s="808">
        <v>0.0375</v>
      </c>
      <c r="G120" s="808"/>
      <c r="H120" s="808"/>
      <c r="I120" s="808"/>
      <c r="J120" s="808"/>
      <c r="L120" s="793" t="s">
        <v>633</v>
      </c>
    </row>
    <row r="121" spans="2:12" ht="12.75">
      <c r="B121" s="808" t="s">
        <v>674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664</v>
      </c>
      <c r="D122" s="812" t="s">
        <v>666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621</v>
      </c>
      <c r="C123" s="812" t="s">
        <v>672</v>
      </c>
      <c r="D123" s="812" t="s">
        <v>622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632</v>
      </c>
      <c r="M123" s="793" t="s">
        <v>636</v>
      </c>
    </row>
    <row r="124" spans="2:13" ht="12.75">
      <c r="B124" s="808" t="s">
        <v>674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664</v>
      </c>
      <c r="D125" s="812" t="s">
        <v>665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675</v>
      </c>
      <c r="C126" s="812" t="s">
        <v>676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623</v>
      </c>
      <c r="D127" s="808" t="s">
        <v>624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626</v>
      </c>
      <c r="C128" s="810" t="s">
        <v>625</v>
      </c>
      <c r="D128" s="808" t="s">
        <v>596</v>
      </c>
      <c r="E128" s="808"/>
      <c r="F128" s="808"/>
      <c r="G128" s="808"/>
      <c r="H128" s="808">
        <v>2.38</v>
      </c>
      <c r="I128" s="808"/>
      <c r="J128" s="808"/>
      <c r="L128" s="793" t="s">
        <v>630</v>
      </c>
    </row>
    <row r="129" spans="2:13" ht="76.5">
      <c r="B129" s="808" t="s">
        <v>628</v>
      </c>
      <c r="C129" s="810" t="s">
        <v>627</v>
      </c>
      <c r="D129" s="808" t="s">
        <v>596</v>
      </c>
      <c r="E129" s="808"/>
      <c r="F129" s="808"/>
      <c r="G129" s="808"/>
      <c r="H129" s="808">
        <v>0.082</v>
      </c>
      <c r="I129" s="808"/>
      <c r="J129" s="808"/>
      <c r="L129" s="793" t="s">
        <v>629</v>
      </c>
      <c r="M129" s="793" t="s">
        <v>631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671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670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677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687</v>
      </c>
      <c r="C134" s="846" t="s">
        <v>678</v>
      </c>
      <c r="D134" s="813" t="s">
        <v>679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685</v>
      </c>
    </row>
    <row r="135" spans="2:12" ht="12.75">
      <c r="B135" s="813"/>
      <c r="C135" s="846" t="s">
        <v>680</v>
      </c>
      <c r="D135" s="846" t="s">
        <v>681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686</v>
      </c>
    </row>
    <row r="136" spans="2:12" ht="22.5">
      <c r="B136" s="813"/>
      <c r="C136" s="837" t="s">
        <v>682</v>
      </c>
      <c r="D136" s="813" t="s">
        <v>683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684</v>
      </c>
    </row>
    <row r="137" spans="2:12" ht="22.5">
      <c r="B137" s="813"/>
      <c r="C137" s="837" t="s">
        <v>690</v>
      </c>
      <c r="D137" s="813" t="s">
        <v>683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689</v>
      </c>
    </row>
    <row r="138" spans="2:12" ht="22.5">
      <c r="B138" s="813"/>
      <c r="C138" s="837" t="s">
        <v>691</v>
      </c>
      <c r="D138" s="813" t="s">
        <v>683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689</v>
      </c>
    </row>
    <row r="139" spans="2:12" ht="22.5">
      <c r="B139" s="813"/>
      <c r="C139" s="837" t="s">
        <v>688</v>
      </c>
      <c r="D139" s="813" t="s">
        <v>683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692</v>
      </c>
    </row>
    <row r="140" spans="2:10" ht="22.5">
      <c r="B140" s="813"/>
      <c r="C140" s="837" t="s">
        <v>693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717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718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719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720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721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722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78" t="s">
        <v>723</v>
      </c>
      <c r="D149" s="878"/>
      <c r="E149" s="878"/>
      <c r="F149" s="878"/>
      <c r="G149" s="878"/>
      <c r="H149" s="878"/>
      <c r="I149" s="878">
        <f>I144+I145+I146+I147+I148</f>
        <v>13550.476221357676</v>
      </c>
      <c r="J149" s="878"/>
    </row>
    <row r="150" spans="3:10" ht="12.75">
      <c r="C150" s="808" t="s">
        <v>724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725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78" t="s">
        <v>723</v>
      </c>
      <c r="D152" s="878"/>
      <c r="E152" s="878"/>
      <c r="F152" s="878"/>
      <c r="G152" s="878"/>
      <c r="H152" s="878"/>
      <c r="I152" s="879">
        <f>I150+I151</f>
        <v>1119.24</v>
      </c>
      <c r="J152" s="878"/>
    </row>
    <row r="153" spans="3:10" ht="12.75">
      <c r="C153" s="808" t="s">
        <v>726</v>
      </c>
      <c r="D153" s="808"/>
      <c r="E153" s="808"/>
      <c r="F153" s="808"/>
      <c r="G153" s="808"/>
      <c r="H153" s="808"/>
      <c r="I153" s="878">
        <f>I149+I152</f>
        <v>14669.716221357676</v>
      </c>
      <c r="J153" s="808"/>
    </row>
    <row r="154" spans="3:10" ht="12.75">
      <c r="C154" s="808" t="s">
        <v>733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735</v>
      </c>
      <c r="D155" s="808"/>
      <c r="E155" s="808"/>
      <c r="F155" s="808"/>
      <c r="G155" s="808"/>
      <c r="H155" s="808"/>
      <c r="I155" s="808" t="s">
        <v>736</v>
      </c>
      <c r="J155" s="808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89" t="s">
        <v>760</v>
      </c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</row>
    <row r="2" spans="1:15" ht="16.5" thickBot="1">
      <c r="A2" s="113"/>
      <c r="B2" s="131" t="s">
        <v>474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85</v>
      </c>
      <c r="D3" s="15" t="s">
        <v>150</v>
      </c>
      <c r="E3" s="15" t="s">
        <v>309</v>
      </c>
      <c r="F3" s="15" t="s">
        <v>149</v>
      </c>
      <c r="G3" s="220" t="s">
        <v>491</v>
      </c>
      <c r="H3" s="307" t="s">
        <v>286</v>
      </c>
      <c r="I3" s="987" t="s">
        <v>153</v>
      </c>
      <c r="J3" s="988"/>
      <c r="K3" s="988"/>
      <c r="L3" s="988"/>
      <c r="M3" s="220"/>
      <c r="N3" s="427" t="s">
        <v>189</v>
      </c>
      <c r="O3" s="985" t="s">
        <v>177</v>
      </c>
    </row>
    <row r="4" spans="1:15" s="2" customFormat="1" ht="28.5" customHeight="1" thickBot="1">
      <c r="A4" s="249"/>
      <c r="B4" s="301"/>
      <c r="C4" s="12"/>
      <c r="D4" s="12"/>
      <c r="E4" s="306" t="s">
        <v>278</v>
      </c>
      <c r="F4" s="306" t="s">
        <v>283</v>
      </c>
      <c r="G4" s="433" t="s">
        <v>278</v>
      </c>
      <c r="H4" s="434" t="s">
        <v>285</v>
      </c>
      <c r="I4" s="302"/>
      <c r="J4" s="303"/>
      <c r="K4" s="303"/>
      <c r="L4" s="303"/>
      <c r="M4" s="218"/>
      <c r="N4" s="311" t="s">
        <v>307</v>
      </c>
      <c r="O4" s="986"/>
    </row>
    <row r="5" spans="1:15" s="243" customFormat="1" ht="14.25" customHeight="1" thickBot="1">
      <c r="A5" s="300" t="s">
        <v>86</v>
      </c>
      <c r="B5" s="305" t="s">
        <v>190</v>
      </c>
      <c r="C5" s="305" t="s">
        <v>87</v>
      </c>
      <c r="D5" s="300" t="s">
        <v>71</v>
      </c>
      <c r="E5" s="305" t="s">
        <v>72</v>
      </c>
      <c r="F5" s="305" t="s">
        <v>73</v>
      </c>
      <c r="G5" s="435" t="s">
        <v>74</v>
      </c>
      <c r="H5" s="437" t="s">
        <v>75</v>
      </c>
      <c r="I5" s="436" t="s">
        <v>76</v>
      </c>
      <c r="J5" s="300" t="s">
        <v>77</v>
      </c>
      <c r="K5" s="305" t="s">
        <v>78</v>
      </c>
      <c r="L5" s="305" t="s">
        <v>79</v>
      </c>
      <c r="M5" s="300" t="s">
        <v>80</v>
      </c>
      <c r="N5" s="438" t="s">
        <v>76</v>
      </c>
      <c r="O5" s="437" t="s">
        <v>77</v>
      </c>
    </row>
    <row r="6" spans="1:15" s="21" customFormat="1" ht="18.75" customHeight="1">
      <c r="A6" s="124" t="s">
        <v>190</v>
      </c>
      <c r="B6" s="565" t="s">
        <v>84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87</v>
      </c>
      <c r="B7" s="370" t="s">
        <v>178</v>
      </c>
      <c r="C7" s="577"/>
      <c r="D7" s="577"/>
      <c r="E7" s="751" t="s">
        <v>296</v>
      </c>
      <c r="F7" s="751" t="s">
        <v>296</v>
      </c>
      <c r="G7" s="751" t="s">
        <v>296</v>
      </c>
      <c r="H7" s="772">
        <f>'сан содерж'!G19</f>
        <v>6675.246879500962</v>
      </c>
      <c r="I7" s="577" t="s">
        <v>296</v>
      </c>
      <c r="J7" s="577" t="s">
        <v>296</v>
      </c>
      <c r="K7" s="577" t="s">
        <v>296</v>
      </c>
      <c r="L7" s="577" t="s">
        <v>296</v>
      </c>
      <c r="M7" s="577" t="s">
        <v>296</v>
      </c>
      <c r="N7" s="577">
        <f>'Исход дан'!D$11</f>
        <v>1104.1</v>
      </c>
      <c r="O7" s="696">
        <f>ROUND(H7/N7/12,2)</f>
        <v>0.5</v>
      </c>
    </row>
    <row r="8" spans="1:15" s="117" customFormat="1" ht="33" customHeight="1">
      <c r="A8" s="121" t="s">
        <v>71</v>
      </c>
      <c r="B8" s="370" t="s">
        <v>180</v>
      </c>
      <c r="C8" s="577"/>
      <c r="D8" s="577"/>
      <c r="E8" s="751" t="s">
        <v>296</v>
      </c>
      <c r="F8" s="751" t="s">
        <v>296</v>
      </c>
      <c r="G8" s="751" t="s">
        <v>296</v>
      </c>
      <c r="H8" s="615">
        <f>'сан содерж'!G42</f>
        <v>30297.16125656699</v>
      </c>
      <c r="I8" s="577" t="s">
        <v>296</v>
      </c>
      <c r="J8" s="577" t="s">
        <v>296</v>
      </c>
      <c r="K8" s="577" t="s">
        <v>296</v>
      </c>
      <c r="L8" s="577" t="s">
        <v>296</v>
      </c>
      <c r="M8" s="577" t="s">
        <v>296</v>
      </c>
      <c r="N8" s="577">
        <f>'Исход дан'!D$11</f>
        <v>1104.1</v>
      </c>
      <c r="O8" s="696">
        <f>ROUND(H8/N8/12,2)</f>
        <v>2.29</v>
      </c>
    </row>
    <row r="9" spans="1:15" s="117" customFormat="1" ht="21.75" customHeight="1">
      <c r="A9" s="121" t="s">
        <v>72</v>
      </c>
      <c r="B9" s="370" t="s">
        <v>179</v>
      </c>
      <c r="C9" s="577"/>
      <c r="D9" s="577"/>
      <c r="E9" s="751" t="s">
        <v>296</v>
      </c>
      <c r="F9" s="751" t="s">
        <v>296</v>
      </c>
      <c r="G9" s="751" t="s">
        <v>296</v>
      </c>
      <c r="H9" s="615" t="e">
        <f>'сан содерж'!G54</f>
        <v>#DIV/0!</v>
      </c>
      <c r="I9" s="577" t="s">
        <v>296</v>
      </c>
      <c r="J9" s="577" t="s">
        <v>296</v>
      </c>
      <c r="K9" s="577" t="s">
        <v>296</v>
      </c>
      <c r="L9" s="577" t="s">
        <v>296</v>
      </c>
      <c r="M9" s="577" t="s">
        <v>296</v>
      </c>
      <c r="N9" s="577">
        <f>'Исход дан'!D$11</f>
        <v>1104.1</v>
      </c>
      <c r="O9" s="696">
        <v>0</v>
      </c>
    </row>
    <row r="10" spans="1:15" s="117" customFormat="1" ht="40.5" customHeight="1" thickBot="1">
      <c r="A10" s="249" t="s">
        <v>73</v>
      </c>
      <c r="B10" s="424" t="s">
        <v>380</v>
      </c>
      <c r="C10" s="578"/>
      <c r="D10" s="577"/>
      <c r="E10" s="751" t="s">
        <v>296</v>
      </c>
      <c r="F10" s="751" t="s">
        <v>296</v>
      </c>
      <c r="G10" s="751" t="s">
        <v>296</v>
      </c>
      <c r="H10" s="615">
        <f>'сан содерж'!G59</f>
        <v>3312.068</v>
      </c>
      <c r="I10" s="577" t="s">
        <v>296</v>
      </c>
      <c r="J10" s="577" t="s">
        <v>296</v>
      </c>
      <c r="K10" s="577" t="s">
        <v>296</v>
      </c>
      <c r="L10" s="577" t="s">
        <v>296</v>
      </c>
      <c r="M10" s="577" t="s">
        <v>296</v>
      </c>
      <c r="N10" s="578">
        <f>'Исход дан'!D$11</f>
        <v>1104.1</v>
      </c>
      <c r="O10" s="698">
        <f>ROUND(H10/N10/12,2)</f>
        <v>0.25</v>
      </c>
    </row>
    <row r="11" spans="1:15" s="1" customFormat="1" ht="30" customHeight="1" thickBot="1">
      <c r="A11" s="366" t="s">
        <v>74</v>
      </c>
      <c r="B11" s="579" t="s">
        <v>148</v>
      </c>
      <c r="C11" s="580"/>
      <c r="D11" s="580"/>
      <c r="E11" s="580"/>
      <c r="F11" s="580"/>
      <c r="G11" s="581"/>
      <c r="H11" s="586">
        <f>H7+H8+H10</f>
        <v>40284.47613606795</v>
      </c>
      <c r="I11" s="582"/>
      <c r="J11" s="583"/>
      <c r="K11" s="583"/>
      <c r="L11" s="583"/>
      <c r="M11" s="584"/>
      <c r="N11" s="585">
        <f>'Исход дан'!D$11</f>
        <v>1104.1</v>
      </c>
      <c r="O11" s="774">
        <f>O7+O8+O10</f>
        <v>3.04</v>
      </c>
    </row>
    <row r="12" spans="1:15" s="4" customFormat="1" ht="15" customHeight="1">
      <c r="A12" s="124" t="s">
        <v>75</v>
      </c>
      <c r="B12" s="587" t="s">
        <v>174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76</v>
      </c>
      <c r="B13" s="595" t="s">
        <v>170</v>
      </c>
      <c r="C13" s="596" t="s">
        <v>241</v>
      </c>
      <c r="D13" s="596"/>
      <c r="E13" s="755"/>
      <c r="F13" s="756"/>
      <c r="G13" s="757"/>
      <c r="H13" s="597">
        <v>1457.4</v>
      </c>
      <c r="I13" s="598"/>
      <c r="J13" s="599"/>
      <c r="K13" s="599"/>
      <c r="L13" s="599"/>
      <c r="M13" s="600"/>
      <c r="N13" s="577">
        <f>'Исход дан'!D$11</f>
        <v>1104.1</v>
      </c>
      <c r="O13" s="772">
        <f>ROUND(H13/N13/12,2)</f>
        <v>0.11</v>
      </c>
    </row>
    <row r="14" spans="1:15" s="62" customFormat="1" ht="15" customHeight="1">
      <c r="A14" s="121" t="s">
        <v>77</v>
      </c>
      <c r="B14" s="595" t="s">
        <v>171</v>
      </c>
      <c r="C14" s="596" t="s">
        <v>241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1104.1</v>
      </c>
      <c r="O14" s="696">
        <f>ROUND(H14/N14/12,2)</f>
        <v>0</v>
      </c>
    </row>
    <row r="15" spans="1:15" s="62" customFormat="1" ht="15" customHeight="1">
      <c r="A15" s="121" t="s">
        <v>78</v>
      </c>
      <c r="B15" s="595" t="s">
        <v>172</v>
      </c>
      <c r="C15" s="596" t="s">
        <v>241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1104.1</v>
      </c>
      <c r="O15" s="696">
        <f>ROUND(H15/N15/12,2)</f>
        <v>0</v>
      </c>
    </row>
    <row r="16" spans="1:15" s="62" customFormat="1" ht="15" customHeight="1" thickBot="1">
      <c r="A16" s="121" t="s">
        <v>79</v>
      </c>
      <c r="B16" s="595" t="s">
        <v>173</v>
      </c>
      <c r="C16" s="596" t="s">
        <v>241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1104.1</v>
      </c>
      <c r="O16" s="698">
        <f>ROUND(H16/N16/12,2)</f>
        <v>0</v>
      </c>
    </row>
    <row r="17" spans="1:15" s="21" customFormat="1" ht="30" customHeight="1" thickBot="1">
      <c r="A17" s="347" t="s">
        <v>80</v>
      </c>
      <c r="B17" s="579" t="s">
        <v>284</v>
      </c>
      <c r="C17" s="580"/>
      <c r="D17" s="580"/>
      <c r="E17" s="601"/>
      <c r="F17" s="580"/>
      <c r="G17" s="581"/>
      <c r="H17" s="586">
        <f>SUM(H13:H16)</f>
        <v>1457.4</v>
      </c>
      <c r="I17" s="602"/>
      <c r="J17" s="603"/>
      <c r="K17" s="603"/>
      <c r="L17" s="603"/>
      <c r="M17" s="604"/>
      <c r="N17" s="585">
        <f>'Исход дан'!D$11</f>
        <v>1104.1</v>
      </c>
      <c r="O17" s="791">
        <f>ROUND(H17/N17/12,2)</f>
        <v>0.11</v>
      </c>
    </row>
    <row r="18" spans="1:15" s="115" customFormat="1" ht="15" customHeight="1">
      <c r="A18" s="124" t="s">
        <v>154</v>
      </c>
      <c r="B18" s="605" t="s">
        <v>82</v>
      </c>
      <c r="C18" s="606" t="s">
        <v>83</v>
      </c>
      <c r="D18" s="606" t="s">
        <v>276</v>
      </c>
      <c r="E18" s="607"/>
      <c r="F18" s="606"/>
      <c r="G18" s="608"/>
      <c r="H18" s="807">
        <v>927.4</v>
      </c>
      <c r="I18" s="609"/>
      <c r="J18" s="610"/>
      <c r="K18" s="611"/>
      <c r="L18" s="610"/>
      <c r="M18" s="612"/>
      <c r="N18" s="593">
        <f>'Исход дан'!D$11</f>
        <v>1104.1</v>
      </c>
      <c r="O18" s="790">
        <f>H18/N18/12</f>
        <v>0.06999667904477251</v>
      </c>
    </row>
    <row r="19" spans="1:15" s="95" customFormat="1" ht="33.75" customHeight="1">
      <c r="A19" s="121" t="s">
        <v>81</v>
      </c>
      <c r="B19" s="370" t="s">
        <v>65</v>
      </c>
      <c r="C19" s="614" t="s">
        <v>395</v>
      </c>
      <c r="D19" s="577" t="s">
        <v>275</v>
      </c>
      <c r="E19" s="758">
        <v>2.596</v>
      </c>
      <c r="F19" s="629">
        <v>2237</v>
      </c>
      <c r="G19" s="759">
        <v>1</v>
      </c>
      <c r="H19" s="820">
        <v>7950</v>
      </c>
      <c r="I19" s="616"/>
      <c r="J19" s="617"/>
      <c r="K19" s="617"/>
      <c r="L19" s="617"/>
      <c r="M19" s="618"/>
      <c r="N19" s="577">
        <f>'Исход дан'!D$11</f>
        <v>1104.1</v>
      </c>
      <c r="O19" s="789">
        <f>ROUND(H19/N19/12,2)</f>
        <v>0.6</v>
      </c>
    </row>
    <row r="20" spans="1:15" s="22" customFormat="1" ht="26.25" customHeight="1">
      <c r="A20" s="121" t="s">
        <v>155</v>
      </c>
      <c r="B20" s="370" t="s">
        <v>471</v>
      </c>
      <c r="C20" s="577" t="s">
        <v>487</v>
      </c>
      <c r="D20" s="577" t="s">
        <v>396</v>
      </c>
      <c r="E20" s="759">
        <v>0.26</v>
      </c>
      <c r="F20" s="751">
        <f>'Исход дан'!D11</f>
        <v>1104.1</v>
      </c>
      <c r="G20" s="760">
        <v>1</v>
      </c>
      <c r="H20" s="820">
        <f>E20*F20*G20*12</f>
        <v>3444.7919999999995</v>
      </c>
      <c r="I20" s="616"/>
      <c r="J20" s="619"/>
      <c r="K20" s="617"/>
      <c r="L20" s="619"/>
      <c r="M20" s="618"/>
      <c r="N20" s="577">
        <f>'Исход дан'!D$11</f>
        <v>1104.1</v>
      </c>
      <c r="O20" s="696">
        <f>ROUND(H20/N20/12,3)</f>
        <v>0.26</v>
      </c>
    </row>
    <row r="21" spans="1:15" s="22" customFormat="1" ht="24.75" customHeight="1">
      <c r="A21" s="121" t="s">
        <v>156</v>
      </c>
      <c r="B21" s="370" t="s">
        <v>472</v>
      </c>
      <c r="C21" s="577" t="s">
        <v>487</v>
      </c>
      <c r="D21" s="577" t="s">
        <v>396</v>
      </c>
      <c r="E21" s="761">
        <v>0.108</v>
      </c>
      <c r="F21" s="751">
        <f>'Исход дан'!D11</f>
        <v>1104.1</v>
      </c>
      <c r="G21" s="759">
        <v>1</v>
      </c>
      <c r="H21" s="820">
        <v>1590</v>
      </c>
      <c r="I21" s="616"/>
      <c r="J21" s="619"/>
      <c r="K21" s="617"/>
      <c r="L21" s="619"/>
      <c r="M21" s="618"/>
      <c r="N21" s="577">
        <f>'Исход дан'!D$11</f>
        <v>1104.1</v>
      </c>
      <c r="O21" s="696">
        <f>ROUND(H21/N21/12,3)</f>
        <v>0.12</v>
      </c>
    </row>
    <row r="22" spans="1:15" s="22" customFormat="1" ht="15.75" customHeight="1" thickBot="1">
      <c r="A22" s="429" t="s">
        <v>157</v>
      </c>
      <c r="B22" s="620" t="s">
        <v>399</v>
      </c>
      <c r="C22" s="577" t="s">
        <v>487</v>
      </c>
      <c r="D22" s="577" t="s">
        <v>396</v>
      </c>
      <c r="E22" s="762">
        <v>0.15</v>
      </c>
      <c r="F22" s="763">
        <f>'Исход дан'!D11</f>
        <v>1104.1</v>
      </c>
      <c r="G22" s="764">
        <v>1</v>
      </c>
      <c r="H22" s="820">
        <v>2119.9</v>
      </c>
      <c r="I22" s="621"/>
      <c r="J22" s="622"/>
      <c r="K22" s="623"/>
      <c r="L22" s="622"/>
      <c r="M22" s="624"/>
      <c r="N22" s="578">
        <f>'Исход дан'!D$11</f>
        <v>1104.1</v>
      </c>
      <c r="O22" s="698">
        <f>ROUND(H22/N22/12,3)</f>
        <v>0.16</v>
      </c>
    </row>
    <row r="23" spans="1:15" s="21" customFormat="1" ht="28.5" customHeight="1" thickBot="1">
      <c r="A23" s="347" t="s">
        <v>88</v>
      </c>
      <c r="B23" s="579" t="s">
        <v>311</v>
      </c>
      <c r="C23" s="580"/>
      <c r="D23" s="580"/>
      <c r="E23" s="580"/>
      <c r="F23" s="580"/>
      <c r="G23" s="581"/>
      <c r="H23" s="586">
        <f>SUM(H18:H22)</f>
        <v>16032.091999999999</v>
      </c>
      <c r="I23" s="582"/>
      <c r="J23" s="583"/>
      <c r="K23" s="583"/>
      <c r="L23" s="583"/>
      <c r="M23" s="584"/>
      <c r="N23" s="585">
        <f>'Исход дан'!D$11</f>
        <v>1104.1</v>
      </c>
      <c r="O23" s="774">
        <f>ROUND(H23/N23/12,2)</f>
        <v>1.21</v>
      </c>
    </row>
    <row r="24" spans="1:17" s="1" customFormat="1" ht="25.5" customHeight="1">
      <c r="A24" s="124" t="s">
        <v>89</v>
      </c>
      <c r="B24" s="625" t="s">
        <v>182</v>
      </c>
      <c r="C24" s="626"/>
      <c r="D24" s="593"/>
      <c r="E24" s="751" t="s">
        <v>296</v>
      </c>
      <c r="F24" s="751" t="s">
        <v>296</v>
      </c>
      <c r="G24" s="759" t="s">
        <v>296</v>
      </c>
      <c r="H24" s="689">
        <f>профраб!I24</f>
        <v>15797.258548103471</v>
      </c>
      <c r="I24" s="690"/>
      <c r="J24" s="691"/>
      <c r="K24" s="593"/>
      <c r="L24" s="691"/>
      <c r="M24" s="627"/>
      <c r="N24" s="593">
        <f>'Исход дан'!D$11</f>
        <v>1104.1</v>
      </c>
      <c r="O24" s="699">
        <f>ROUND(H24/N24/12,2)</f>
        <v>1.19</v>
      </c>
      <c r="P24" s="824" t="s">
        <v>695</v>
      </c>
      <c r="Q24" s="825" t="s">
        <v>696</v>
      </c>
    </row>
    <row r="25" spans="1:16" s="1" customFormat="1" ht="25.5" customHeight="1">
      <c r="A25" s="121" t="s">
        <v>90</v>
      </c>
      <c r="B25" s="370" t="s">
        <v>183</v>
      </c>
      <c r="C25" s="614"/>
      <c r="D25" s="577"/>
      <c r="E25" s="751" t="s">
        <v>296</v>
      </c>
      <c r="F25" s="751" t="s">
        <v>296</v>
      </c>
      <c r="G25" s="759" t="s">
        <v>296</v>
      </c>
      <c r="H25" s="615">
        <f>профраб!I38</f>
        <v>242.65743891762713</v>
      </c>
      <c r="I25" s="692"/>
      <c r="J25" s="693"/>
      <c r="K25" s="577"/>
      <c r="L25" s="693"/>
      <c r="M25" s="628"/>
      <c r="N25" s="577">
        <f>'Исход дан'!D$11</f>
        <v>1104.1</v>
      </c>
      <c r="O25" s="696">
        <f>ROUND(H25/N25/12,2)</f>
        <v>0.02</v>
      </c>
      <c r="P25" s="425"/>
    </row>
    <row r="26" spans="1:17" s="1" customFormat="1" ht="30" customHeight="1" thickBot="1">
      <c r="A26" s="249" t="s">
        <v>91</v>
      </c>
      <c r="B26" s="842" t="s">
        <v>714</v>
      </c>
      <c r="C26" s="629"/>
      <c r="D26" s="578"/>
      <c r="E26" s="629"/>
      <c r="F26" s="765"/>
      <c r="G26" s="766"/>
      <c r="H26" s="630">
        <v>17208.8</v>
      </c>
      <c r="I26" s="694"/>
      <c r="J26" s="695"/>
      <c r="K26" s="578"/>
      <c r="L26" s="695"/>
      <c r="M26" s="631"/>
      <c r="N26" s="578">
        <f>'Исход дан'!D$11</f>
        <v>1104.1</v>
      </c>
      <c r="O26" s="787">
        <f>ROUND(H26/N26/12,2)</f>
        <v>1.3</v>
      </c>
      <c r="P26" s="425"/>
      <c r="Q26" s="1" t="s">
        <v>728</v>
      </c>
    </row>
    <row r="27" spans="1:15" s="4" customFormat="1" ht="30" customHeight="1" thickBot="1">
      <c r="A27" s="347" t="s">
        <v>92</v>
      </c>
      <c r="B27" s="681" t="s">
        <v>408</v>
      </c>
      <c r="C27" s="580"/>
      <c r="D27" s="580"/>
      <c r="E27" s="580"/>
      <c r="F27" s="580"/>
      <c r="G27" s="581"/>
      <c r="H27" s="773">
        <f>SUM(H24:H26)</f>
        <v>33248.715987021096</v>
      </c>
      <c r="I27" s="582"/>
      <c r="J27" s="697"/>
      <c r="K27" s="583"/>
      <c r="L27" s="697"/>
      <c r="M27" s="682"/>
      <c r="N27" s="585">
        <f>'Исход дан'!D$11</f>
        <v>1104.1</v>
      </c>
      <c r="O27" s="774">
        <f>ROUND(H27/N27/12,2)</f>
        <v>2.51</v>
      </c>
    </row>
    <row r="28" spans="1:15" s="4" customFormat="1" ht="39" customHeight="1">
      <c r="A28" s="552" t="s">
        <v>93</v>
      </c>
      <c r="B28" s="553" t="s">
        <v>485</v>
      </c>
      <c r="C28" s="633" t="s">
        <v>486</v>
      </c>
      <c r="D28" s="634"/>
      <c r="E28" s="767"/>
      <c r="F28" s="767"/>
      <c r="G28" s="768"/>
      <c r="H28" s="689">
        <f>E28*F28*G28</f>
        <v>0</v>
      </c>
      <c r="I28" s="635"/>
      <c r="J28" s="636"/>
      <c r="K28" s="637"/>
      <c r="L28" s="636"/>
      <c r="M28" s="638"/>
      <c r="N28" s="593">
        <f>'Исход дан'!D$11</f>
        <v>1104.1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94</v>
      </c>
      <c r="B29" s="841" t="s">
        <v>713</v>
      </c>
      <c r="C29" s="430" t="s">
        <v>258</v>
      </c>
      <c r="D29" s="566"/>
      <c r="E29" s="753"/>
      <c r="F29" s="753"/>
      <c r="G29" s="769"/>
      <c r="H29" s="615">
        <v>530</v>
      </c>
      <c r="I29" s="639"/>
      <c r="J29" s="640"/>
      <c r="K29" s="641"/>
      <c r="L29" s="640"/>
      <c r="M29" s="565"/>
      <c r="N29" s="577">
        <f>'Исход дан'!D$11</f>
        <v>1104.1</v>
      </c>
      <c r="O29" s="696">
        <f t="shared" si="0"/>
        <v>0.04</v>
      </c>
    </row>
    <row r="30" spans="1:15" s="21" customFormat="1" ht="15.75" customHeight="1">
      <c r="A30" s="121" t="s">
        <v>95</v>
      </c>
      <c r="B30" s="625" t="s">
        <v>397</v>
      </c>
      <c r="C30" s="593" t="s">
        <v>468</v>
      </c>
      <c r="D30" s="577" t="s">
        <v>396</v>
      </c>
      <c r="E30" s="751"/>
      <c r="F30" s="751">
        <f>'Исход дан'!D11</f>
        <v>1104.1</v>
      </c>
      <c r="G30" s="759"/>
      <c r="H30" s="615">
        <v>3842.3</v>
      </c>
      <c r="I30" s="642"/>
      <c r="J30" s="643"/>
      <c r="K30" s="644"/>
      <c r="L30" s="643"/>
      <c r="M30" s="645"/>
      <c r="N30" s="577">
        <f>'Исход дан'!D$11</f>
        <v>1104.1</v>
      </c>
      <c r="O30" s="772">
        <f t="shared" si="0"/>
        <v>0.29</v>
      </c>
    </row>
    <row r="31" spans="1:15" s="21" customFormat="1" ht="35.25" customHeight="1">
      <c r="A31" s="124" t="s">
        <v>158</v>
      </c>
      <c r="B31" s="625" t="s">
        <v>406</v>
      </c>
      <c r="C31" s="626" t="s">
        <v>469</v>
      </c>
      <c r="D31" s="577" t="s">
        <v>396</v>
      </c>
      <c r="E31" s="770"/>
      <c r="F31" s="770">
        <f>'Исход дан'!D11</f>
        <v>1104.1</v>
      </c>
      <c r="G31" s="771"/>
      <c r="H31" s="615">
        <v>25438</v>
      </c>
      <c r="I31" s="642"/>
      <c r="J31" s="643"/>
      <c r="K31" s="644"/>
      <c r="L31" s="643"/>
      <c r="M31" s="645"/>
      <c r="N31" s="577">
        <f>'Исход дан'!D$11</f>
        <v>1104.1</v>
      </c>
      <c r="O31" s="696">
        <f t="shared" si="0"/>
        <v>1.92</v>
      </c>
    </row>
    <row r="32" spans="1:15" s="21" customFormat="1" ht="27" customHeight="1">
      <c r="A32" s="429" t="s">
        <v>159</v>
      </c>
      <c r="B32" s="620" t="s">
        <v>407</v>
      </c>
      <c r="C32" s="646" t="s">
        <v>470</v>
      </c>
      <c r="D32" s="578" t="s">
        <v>396</v>
      </c>
      <c r="E32" s="763"/>
      <c r="F32" s="763">
        <f>'Исход дан'!D11</f>
        <v>1104.1</v>
      </c>
      <c r="G32" s="764"/>
      <c r="H32" s="615">
        <v>2782</v>
      </c>
      <c r="I32" s="647"/>
      <c r="J32" s="648"/>
      <c r="K32" s="649"/>
      <c r="L32" s="648"/>
      <c r="M32" s="650"/>
      <c r="N32" s="577">
        <f>'Исход дан'!D$11</f>
        <v>1104.1</v>
      </c>
      <c r="O32" s="772">
        <f t="shared" si="0"/>
        <v>0.21</v>
      </c>
    </row>
    <row r="33" spans="1:15" s="21" customFormat="1" ht="15.75" customHeight="1" thickBot="1">
      <c r="A33" s="249" t="s">
        <v>312</v>
      </c>
      <c r="B33" s="424" t="s">
        <v>473</v>
      </c>
      <c r="C33" s="854" t="s">
        <v>195</v>
      </c>
      <c r="D33" s="578" t="s">
        <v>396</v>
      </c>
      <c r="E33" s="629"/>
      <c r="F33" s="629"/>
      <c r="G33" s="766"/>
      <c r="H33" s="630">
        <v>0</v>
      </c>
      <c r="I33" s="647"/>
      <c r="J33" s="648"/>
      <c r="K33" s="649"/>
      <c r="L33" s="648"/>
      <c r="M33" s="650"/>
      <c r="N33" s="578">
        <f>'Исход дан'!D$11</f>
        <v>1104.1</v>
      </c>
      <c r="O33" s="698">
        <f t="shared" si="0"/>
        <v>0</v>
      </c>
    </row>
    <row r="34" spans="1:16" s="5" customFormat="1" ht="30" customHeight="1" thickBot="1">
      <c r="A34" s="366" t="s">
        <v>313</v>
      </c>
      <c r="B34" s="651" t="s">
        <v>188</v>
      </c>
      <c r="C34" s="652"/>
      <c r="D34" s="652" t="s">
        <v>56</v>
      </c>
      <c r="E34" s="652"/>
      <c r="F34" s="652"/>
      <c r="G34" s="653"/>
      <c r="H34" s="657">
        <f>H11+H17+H23+H27+H28+H29+H30+H31+H32+H33</f>
        <v>123614.98412308905</v>
      </c>
      <c r="I34" s="654"/>
      <c r="J34" s="655"/>
      <c r="K34" s="655"/>
      <c r="L34" s="655"/>
      <c r="M34" s="656"/>
      <c r="N34" s="632">
        <f>'Исход дан'!D$11</f>
        <v>1104.1</v>
      </c>
      <c r="O34" s="849">
        <f>ROUND(H34/N34/12,2)</f>
        <v>9.33</v>
      </c>
      <c r="P34" s="369"/>
    </row>
    <row r="35" spans="1:15" s="1" customFormat="1" ht="33.75" hidden="1">
      <c r="A35" s="124" t="s">
        <v>339</v>
      </c>
      <c r="B35" s="658" t="s">
        <v>175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340</v>
      </c>
      <c r="B36" s="666" t="s">
        <v>176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52"/>
      <c r="I38" s="679"/>
      <c r="J38" s="680"/>
      <c r="K38" s="679"/>
      <c r="L38" s="680"/>
      <c r="M38" s="678"/>
      <c r="N38" s="679"/>
      <c r="O38" s="852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5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55">
      <selection activeCell="E69" sqref="E69"/>
    </sheetView>
  </sheetViews>
  <sheetFormatPr defaultColWidth="9.00390625" defaultRowHeight="12.75"/>
  <cols>
    <col min="1" max="1" width="6.25390625" style="113" customWidth="1"/>
    <col min="2" max="2" width="48.875" style="31" customWidth="1"/>
    <col min="3" max="3" width="25.00390625" style="256" customWidth="1"/>
    <col min="4" max="4" width="19.875" style="256" customWidth="1"/>
    <col min="5" max="5" width="26.00390625" style="256" customWidth="1"/>
    <col min="6" max="6" width="11.25390625" style="31" bestFit="1" customWidth="1"/>
    <col min="7" max="16384" width="9.125" style="31" customWidth="1"/>
  </cols>
  <sheetData>
    <row r="1" spans="1:5" ht="25.5" customHeight="1" thickBot="1">
      <c r="A1" s="990" t="s">
        <v>761</v>
      </c>
      <c r="B1" s="990"/>
      <c r="C1" s="990"/>
      <c r="D1" s="990"/>
      <c r="E1" s="990"/>
    </row>
    <row r="2" spans="1:5" ht="25.5" customHeight="1">
      <c r="A2" s="843" t="s">
        <v>196</v>
      </c>
      <c r="B2" s="844" t="s">
        <v>197</v>
      </c>
      <c r="C2" s="844" t="s">
        <v>198</v>
      </c>
      <c r="D2" s="844" t="s">
        <v>482</v>
      </c>
      <c r="E2" s="845" t="s">
        <v>481</v>
      </c>
    </row>
    <row r="3" spans="1:5" ht="11.25" customHeight="1">
      <c r="A3" s="777"/>
      <c r="B3" s="776" t="s">
        <v>260</v>
      </c>
      <c r="C3" s="775"/>
      <c r="D3" s="775"/>
      <c r="E3" s="778">
        <f>'Исход дан'!D11</f>
        <v>1104.1</v>
      </c>
    </row>
    <row r="4" spans="1:5" ht="15" customHeight="1">
      <c r="A4" s="994" t="s">
        <v>342</v>
      </c>
      <c r="B4" s="995"/>
      <c r="C4" s="995"/>
      <c r="D4" s="995"/>
      <c r="E4" s="996"/>
    </row>
    <row r="5" spans="1:7" s="260" customFormat="1" ht="10.5" customHeight="1">
      <c r="A5" s="857" t="s">
        <v>199</v>
      </c>
      <c r="B5" s="858" t="s">
        <v>200</v>
      </c>
      <c r="C5" s="859"/>
      <c r="D5" s="860">
        <v>7089.12</v>
      </c>
      <c r="E5" s="861">
        <f>ROUND(D5/E$3/12,2)</f>
        <v>0.54</v>
      </c>
      <c r="G5" s="343"/>
    </row>
    <row r="6" spans="1:7" ht="24.75" customHeight="1">
      <c r="A6" s="857" t="s">
        <v>201</v>
      </c>
      <c r="B6" s="858" t="s">
        <v>755</v>
      </c>
      <c r="C6" s="859" t="s">
        <v>202</v>
      </c>
      <c r="D6" s="860"/>
      <c r="E6" s="863"/>
      <c r="F6" s="260"/>
      <c r="G6" s="260"/>
    </row>
    <row r="7" spans="1:7" ht="15" customHeight="1">
      <c r="A7" s="857" t="s">
        <v>348</v>
      </c>
      <c r="B7" s="858" t="s">
        <v>765</v>
      </c>
      <c r="C7" s="859" t="s">
        <v>209</v>
      </c>
      <c r="D7" s="860"/>
      <c r="E7" s="863"/>
      <c r="F7" s="260"/>
      <c r="G7" s="260"/>
    </row>
    <row r="8" spans="1:7" ht="11.25" customHeight="1">
      <c r="A8" s="857" t="s">
        <v>349</v>
      </c>
      <c r="B8" s="862" t="s">
        <v>262</v>
      </c>
      <c r="C8" s="859" t="s">
        <v>205</v>
      </c>
      <c r="D8" s="860"/>
      <c r="E8" s="863"/>
      <c r="F8" s="260"/>
      <c r="G8" s="260"/>
    </row>
    <row r="9" spans="1:7" ht="10.5" customHeight="1">
      <c r="A9" s="857" t="s">
        <v>350</v>
      </c>
      <c r="B9" s="858" t="s">
        <v>204</v>
      </c>
      <c r="C9" s="859" t="s">
        <v>205</v>
      </c>
      <c r="D9" s="860"/>
      <c r="E9" s="863"/>
      <c r="F9" s="260"/>
      <c r="G9" s="260"/>
    </row>
    <row r="10" spans="1:7" ht="11.25" customHeight="1">
      <c r="A10" s="857" t="s">
        <v>351</v>
      </c>
      <c r="B10" s="858" t="s">
        <v>206</v>
      </c>
      <c r="C10" s="859" t="s">
        <v>205</v>
      </c>
      <c r="D10" s="860"/>
      <c r="E10" s="863"/>
      <c r="F10" s="260"/>
      <c r="G10" s="260"/>
    </row>
    <row r="11" spans="1:7" ht="36" customHeight="1">
      <c r="A11" s="857" t="s">
        <v>352</v>
      </c>
      <c r="B11" s="858" t="s">
        <v>207</v>
      </c>
      <c r="C11" s="859" t="s">
        <v>203</v>
      </c>
      <c r="D11" s="860"/>
      <c r="E11" s="863"/>
      <c r="F11" s="260"/>
      <c r="G11" s="260"/>
    </row>
    <row r="12" spans="1:7" ht="25.5" customHeight="1">
      <c r="A12" s="857" t="s">
        <v>754</v>
      </c>
      <c r="B12" s="858" t="s">
        <v>208</v>
      </c>
      <c r="C12" s="859" t="s">
        <v>209</v>
      </c>
      <c r="D12" s="860"/>
      <c r="E12" s="863"/>
      <c r="F12" s="260"/>
      <c r="G12" s="260"/>
    </row>
    <row r="13" spans="1:7" ht="13.5" customHeight="1">
      <c r="A13" s="991" t="s">
        <v>479</v>
      </c>
      <c r="B13" s="992"/>
      <c r="C13" s="992"/>
      <c r="D13" s="992"/>
      <c r="E13" s="993"/>
      <c r="F13" s="260"/>
      <c r="G13" s="260"/>
    </row>
    <row r="14" spans="1:7" s="260" customFormat="1" ht="14.25">
      <c r="A14" s="857" t="s">
        <v>353</v>
      </c>
      <c r="B14" s="858" t="s">
        <v>210</v>
      </c>
      <c r="C14" s="859"/>
      <c r="D14" s="860">
        <v>32175.58</v>
      </c>
      <c r="E14" s="863">
        <f>ROUND(D14/E$3/12,2)</f>
        <v>2.43</v>
      </c>
      <c r="F14" s="354"/>
      <c r="G14" s="343"/>
    </row>
    <row r="15" spans="1:7" s="259" customFormat="1" ht="12" customHeight="1">
      <c r="A15" s="857" t="s">
        <v>66</v>
      </c>
      <c r="B15" s="894" t="s">
        <v>211</v>
      </c>
      <c r="C15" s="859"/>
      <c r="D15" s="860"/>
      <c r="E15" s="861"/>
      <c r="F15" s="260"/>
      <c r="G15" s="260"/>
    </row>
    <row r="16" spans="1:7" ht="28.5" customHeight="1">
      <c r="A16" s="857" t="s">
        <v>212</v>
      </c>
      <c r="B16" s="858" t="s">
        <v>213</v>
      </c>
      <c r="C16" s="859" t="s">
        <v>214</v>
      </c>
      <c r="D16" s="874"/>
      <c r="E16" s="858"/>
      <c r="F16" s="260"/>
      <c r="G16" s="260"/>
    </row>
    <row r="17" spans="1:7" ht="22.5" customHeight="1">
      <c r="A17" s="857" t="s">
        <v>215</v>
      </c>
      <c r="B17" s="858" t="s">
        <v>216</v>
      </c>
      <c r="C17" s="859" t="s">
        <v>217</v>
      </c>
      <c r="D17" s="874"/>
      <c r="E17" s="858"/>
      <c r="F17" s="260"/>
      <c r="G17" s="260"/>
    </row>
    <row r="18" spans="1:7" ht="24">
      <c r="A18" s="857" t="s">
        <v>218</v>
      </c>
      <c r="B18" s="858" t="s">
        <v>219</v>
      </c>
      <c r="C18" s="888" t="s">
        <v>220</v>
      </c>
      <c r="D18" s="874"/>
      <c r="E18" s="858"/>
      <c r="F18" s="260"/>
      <c r="G18" s="260"/>
    </row>
    <row r="19" spans="1:7" ht="34.5" customHeight="1">
      <c r="A19" s="857" t="s">
        <v>221</v>
      </c>
      <c r="B19" s="858" t="s">
        <v>222</v>
      </c>
      <c r="C19" s="859" t="s">
        <v>261</v>
      </c>
      <c r="D19" s="874"/>
      <c r="E19" s="858"/>
      <c r="F19" s="260"/>
      <c r="G19" s="260"/>
    </row>
    <row r="20" spans="1:7" ht="24">
      <c r="A20" s="857" t="s">
        <v>223</v>
      </c>
      <c r="B20" s="858" t="s">
        <v>224</v>
      </c>
      <c r="C20" s="859" t="s">
        <v>225</v>
      </c>
      <c r="D20" s="874"/>
      <c r="E20" s="858"/>
      <c r="F20" s="260"/>
      <c r="G20" s="260"/>
    </row>
    <row r="21" spans="1:7" ht="12" customHeight="1">
      <c r="A21" s="857" t="s">
        <v>226</v>
      </c>
      <c r="B21" s="858" t="s">
        <v>227</v>
      </c>
      <c r="C21" s="859" t="s">
        <v>228</v>
      </c>
      <c r="D21" s="874"/>
      <c r="E21" s="858"/>
      <c r="F21" s="260"/>
      <c r="G21" s="260"/>
    </row>
    <row r="22" spans="1:7" ht="14.25">
      <c r="A22" s="857" t="s">
        <v>753</v>
      </c>
      <c r="B22" s="858" t="s">
        <v>230</v>
      </c>
      <c r="C22" s="859" t="s">
        <v>202</v>
      </c>
      <c r="D22" s="860"/>
      <c r="E22" s="861"/>
      <c r="F22" s="260"/>
      <c r="G22" s="260"/>
    </row>
    <row r="23" spans="1:7" s="259" customFormat="1" ht="11.25" customHeight="1">
      <c r="A23" s="857" t="s">
        <v>67</v>
      </c>
      <c r="B23" s="869" t="s">
        <v>231</v>
      </c>
      <c r="C23" s="859"/>
      <c r="D23" s="860"/>
      <c r="E23" s="861"/>
      <c r="F23" s="260"/>
      <c r="G23" s="260"/>
    </row>
    <row r="24" spans="1:7" ht="24">
      <c r="A24" s="857" t="s">
        <v>497</v>
      </c>
      <c r="B24" s="858" t="s">
        <v>232</v>
      </c>
      <c r="C24" s="859" t="s">
        <v>229</v>
      </c>
      <c r="D24" s="874"/>
      <c r="E24" s="858"/>
      <c r="F24" s="260"/>
      <c r="G24" s="260"/>
    </row>
    <row r="25" spans="1:7" ht="24">
      <c r="A25" s="857" t="s">
        <v>233</v>
      </c>
      <c r="B25" s="858" t="s">
        <v>234</v>
      </c>
      <c r="C25" s="859" t="s">
        <v>235</v>
      </c>
      <c r="D25" s="860"/>
      <c r="E25" s="859"/>
      <c r="F25" s="260"/>
      <c r="G25" s="260"/>
    </row>
    <row r="26" spans="1:7" ht="21.75" customHeight="1">
      <c r="A26" s="857" t="s">
        <v>236</v>
      </c>
      <c r="B26" s="858" t="s">
        <v>237</v>
      </c>
      <c r="C26" s="859" t="s">
        <v>238</v>
      </c>
      <c r="D26" s="874"/>
      <c r="E26" s="858"/>
      <c r="F26" s="260"/>
      <c r="G26" s="260"/>
    </row>
    <row r="27" spans="1:7" ht="15" customHeight="1">
      <c r="A27" s="857" t="s">
        <v>259</v>
      </c>
      <c r="B27" s="858" t="s">
        <v>727</v>
      </c>
      <c r="C27" s="859" t="s">
        <v>239</v>
      </c>
      <c r="D27" s="860"/>
      <c r="E27" s="861"/>
      <c r="F27" s="260"/>
      <c r="G27" s="260"/>
    </row>
    <row r="28" spans="1:7" ht="11.25" customHeight="1">
      <c r="A28" s="857" t="s">
        <v>752</v>
      </c>
      <c r="B28" s="858" t="s">
        <v>230</v>
      </c>
      <c r="C28" s="859" t="s">
        <v>202</v>
      </c>
      <c r="D28" s="860"/>
      <c r="E28" s="861"/>
      <c r="F28" s="260"/>
      <c r="G28" s="260"/>
    </row>
    <row r="29" spans="1:7" s="261" customFormat="1" ht="12.75" customHeight="1">
      <c r="A29" s="857" t="s">
        <v>68</v>
      </c>
      <c r="B29" s="864" t="s">
        <v>380</v>
      </c>
      <c r="C29" s="859" t="s">
        <v>242</v>
      </c>
      <c r="D29" s="860">
        <v>3517.42</v>
      </c>
      <c r="E29" s="863">
        <f>ROUND(D29/E$3/12,2)</f>
        <v>0.27</v>
      </c>
      <c r="F29" s="260"/>
      <c r="G29" s="343"/>
    </row>
    <row r="30" spans="1:7" s="261" customFormat="1" ht="12" customHeight="1">
      <c r="A30" s="857" t="s">
        <v>498</v>
      </c>
      <c r="B30" s="864" t="s">
        <v>475</v>
      </c>
      <c r="C30" s="859" t="s">
        <v>242</v>
      </c>
      <c r="D30" s="860">
        <v>2251.33</v>
      </c>
      <c r="E30" s="863">
        <f>D30/E$3/12</f>
        <v>0.1699219575521541</v>
      </c>
      <c r="F30" s="260"/>
      <c r="G30" s="343"/>
    </row>
    <row r="31" spans="1:7" s="261" customFormat="1" ht="14.25" customHeight="1">
      <c r="A31" s="991" t="s">
        <v>343</v>
      </c>
      <c r="B31" s="992"/>
      <c r="C31" s="992"/>
      <c r="D31" s="992"/>
      <c r="E31" s="993"/>
      <c r="F31" s="260"/>
      <c r="G31" s="343"/>
    </row>
    <row r="32" spans="1:7" ht="22.5" customHeight="1">
      <c r="A32" s="857" t="s">
        <v>69</v>
      </c>
      <c r="B32" s="858" t="s">
        <v>257</v>
      </c>
      <c r="C32" s="859" t="s">
        <v>241</v>
      </c>
      <c r="D32" s="860">
        <v>1461.09</v>
      </c>
      <c r="E32" s="891">
        <f aca="true" t="shared" si="0" ref="E32:E40">ROUND(D32/E$3/12,2)</f>
        <v>0.11</v>
      </c>
      <c r="F32" s="260"/>
      <c r="G32" s="343"/>
    </row>
    <row r="33" spans="1:7" ht="12" customHeight="1">
      <c r="A33" s="857" t="s">
        <v>766</v>
      </c>
      <c r="B33" s="858" t="s">
        <v>768</v>
      </c>
      <c r="C33" s="859" t="s">
        <v>241</v>
      </c>
      <c r="D33" s="860">
        <f>профраб!I11+профраб!I12</f>
        <v>0</v>
      </c>
      <c r="E33" s="891">
        <f t="shared" si="0"/>
        <v>0</v>
      </c>
      <c r="F33" s="260"/>
      <c r="G33" s="343"/>
    </row>
    <row r="34" spans="1:7" ht="12.75" customHeight="1">
      <c r="A34" s="857" t="s">
        <v>70</v>
      </c>
      <c r="B34" s="858" t="s">
        <v>477</v>
      </c>
      <c r="C34" s="859" t="s">
        <v>241</v>
      </c>
      <c r="D34" s="860">
        <f>профраб!I13</f>
        <v>0</v>
      </c>
      <c r="E34" s="861">
        <f t="shared" si="0"/>
        <v>0</v>
      </c>
      <c r="F34" s="260"/>
      <c r="G34" s="343"/>
    </row>
    <row r="35" spans="1:7" ht="24.75" customHeight="1">
      <c r="A35" s="857" t="s">
        <v>354</v>
      </c>
      <c r="B35" s="858" t="s">
        <v>256</v>
      </c>
      <c r="C35" s="859" t="s">
        <v>241</v>
      </c>
      <c r="D35" s="860">
        <v>2035.09</v>
      </c>
      <c r="E35" s="861">
        <f t="shared" si="0"/>
        <v>0.15</v>
      </c>
      <c r="F35" s="260"/>
      <c r="G35" s="343"/>
    </row>
    <row r="36" spans="1:7" ht="24" customHeight="1">
      <c r="A36" s="857" t="s">
        <v>355</v>
      </c>
      <c r="B36" s="858" t="s">
        <v>253</v>
      </c>
      <c r="C36" s="859" t="s">
        <v>241</v>
      </c>
      <c r="D36" s="860">
        <v>4475.32</v>
      </c>
      <c r="E36" s="891">
        <f t="shared" si="0"/>
        <v>0.34</v>
      </c>
      <c r="F36" s="260"/>
      <c r="G36" s="343"/>
    </row>
    <row r="37" spans="1:7" ht="22.5" customHeight="1">
      <c r="A37" s="857" t="s">
        <v>356</v>
      </c>
      <c r="B37" s="858" t="s">
        <v>254</v>
      </c>
      <c r="C37" s="859" t="s">
        <v>241</v>
      </c>
      <c r="D37" s="860">
        <v>4903.37</v>
      </c>
      <c r="E37" s="863">
        <f t="shared" si="0"/>
        <v>0.37</v>
      </c>
      <c r="F37" s="260"/>
      <c r="G37" s="343"/>
    </row>
    <row r="38" spans="1:7" ht="12" customHeight="1">
      <c r="A38" s="857" t="s">
        <v>767</v>
      </c>
      <c r="B38" s="858" t="s">
        <v>244</v>
      </c>
      <c r="C38" s="859" t="s">
        <v>241</v>
      </c>
      <c r="D38" s="860">
        <v>2481.83</v>
      </c>
      <c r="E38" s="861">
        <f t="shared" si="0"/>
        <v>0.19</v>
      </c>
      <c r="F38" s="260"/>
      <c r="G38" s="343"/>
    </row>
    <row r="39" spans="1:7" s="261" customFormat="1" ht="13.5" customHeight="1">
      <c r="A39" s="991" t="s">
        <v>344</v>
      </c>
      <c r="B39" s="992"/>
      <c r="C39" s="992"/>
      <c r="D39" s="992"/>
      <c r="E39" s="993"/>
      <c r="F39" s="260"/>
      <c r="G39" s="343"/>
    </row>
    <row r="40" spans="1:7" s="260" customFormat="1" ht="14.25" customHeight="1">
      <c r="A40" s="857" t="s">
        <v>357</v>
      </c>
      <c r="B40" s="858" t="s">
        <v>240</v>
      </c>
      <c r="C40" s="859" t="s">
        <v>772</v>
      </c>
      <c r="D40" s="860">
        <v>1547.76</v>
      </c>
      <c r="E40" s="863">
        <f t="shared" si="0"/>
        <v>0.12</v>
      </c>
      <c r="G40" s="343"/>
    </row>
    <row r="41" spans="1:7" s="260" customFormat="1" ht="12" customHeight="1">
      <c r="A41" s="857" t="s">
        <v>358</v>
      </c>
      <c r="B41" s="858" t="s">
        <v>192</v>
      </c>
      <c r="C41" s="859" t="s">
        <v>522</v>
      </c>
      <c r="D41" s="860">
        <v>984.9</v>
      </c>
      <c r="E41" s="865">
        <f>D41/E$3/12</f>
        <v>0.07433656371705462</v>
      </c>
      <c r="G41" s="343"/>
    </row>
    <row r="42" spans="1:7" s="260" customFormat="1" ht="12" customHeight="1">
      <c r="A42" s="857" t="s">
        <v>359</v>
      </c>
      <c r="B42" s="858" t="s">
        <v>476</v>
      </c>
      <c r="C42" s="859" t="s">
        <v>242</v>
      </c>
      <c r="D42" s="860">
        <v>3658.37</v>
      </c>
      <c r="E42" s="861">
        <f>D42/E$3/12</f>
        <v>0.27612006762672464</v>
      </c>
      <c r="G42" s="343"/>
    </row>
    <row r="43" spans="1:7" s="260" customFormat="1" ht="12" customHeight="1">
      <c r="A43" s="857" t="s">
        <v>499</v>
      </c>
      <c r="B43" s="864" t="s">
        <v>472</v>
      </c>
      <c r="C43" s="859" t="s">
        <v>242</v>
      </c>
      <c r="D43" s="860">
        <v>1688.58</v>
      </c>
      <c r="E43" s="863">
        <f>D43/E$3/12</f>
        <v>0.1274476949551671</v>
      </c>
      <c r="G43" s="343"/>
    </row>
    <row r="44" spans="1:7" s="39" customFormat="1" ht="11.25" customHeight="1">
      <c r="A44" s="857" t="s">
        <v>360</v>
      </c>
      <c r="B44" s="858" t="s">
        <v>252</v>
      </c>
      <c r="C44" s="866"/>
      <c r="D44" s="867"/>
      <c r="E44" s="868"/>
      <c r="F44" s="353"/>
      <c r="G44" s="352"/>
    </row>
    <row r="45" spans="1:7" ht="24">
      <c r="A45" s="857" t="s">
        <v>346</v>
      </c>
      <c r="B45" s="858" t="s">
        <v>248</v>
      </c>
      <c r="C45" s="859" t="s">
        <v>318</v>
      </c>
      <c r="D45" s="860">
        <v>24.29</v>
      </c>
      <c r="E45" s="861">
        <f aca="true" t="shared" si="1" ref="E45:E57">ROUND(D45/E$3/12,2)</f>
        <v>0</v>
      </c>
      <c r="F45" s="260"/>
      <c r="G45" s="343"/>
    </row>
    <row r="46" spans="1:7" ht="24">
      <c r="A46" s="857" t="s">
        <v>361</v>
      </c>
      <c r="B46" s="858" t="s">
        <v>341</v>
      </c>
      <c r="C46" s="859" t="s">
        <v>243</v>
      </c>
      <c r="D46" s="860">
        <v>37.85</v>
      </c>
      <c r="E46" s="863">
        <f t="shared" si="1"/>
        <v>0</v>
      </c>
      <c r="F46" s="260"/>
      <c r="G46" s="343"/>
    </row>
    <row r="47" spans="1:7" ht="24">
      <c r="A47" s="857" t="s">
        <v>362</v>
      </c>
      <c r="B47" s="858" t="s">
        <v>250</v>
      </c>
      <c r="C47" s="859" t="s">
        <v>169</v>
      </c>
      <c r="D47" s="860">
        <v>170.33</v>
      </c>
      <c r="E47" s="861">
        <f t="shared" si="1"/>
        <v>0.01</v>
      </c>
      <c r="F47" s="260"/>
      <c r="G47" s="343"/>
    </row>
    <row r="48" spans="1:7" ht="36">
      <c r="A48" s="857" t="s">
        <v>363</v>
      </c>
      <c r="B48" s="858" t="s">
        <v>249</v>
      </c>
      <c r="C48" s="859" t="s">
        <v>243</v>
      </c>
      <c r="D48" s="860">
        <f>профраб!I35</f>
        <v>0</v>
      </c>
      <c r="E48" s="861">
        <f t="shared" si="1"/>
        <v>0</v>
      </c>
      <c r="F48" s="260"/>
      <c r="G48" s="343"/>
    </row>
    <row r="49" spans="1:7" ht="24">
      <c r="A49" s="857" t="s">
        <v>364</v>
      </c>
      <c r="B49" s="858" t="s">
        <v>251</v>
      </c>
      <c r="C49" s="859" t="s">
        <v>169</v>
      </c>
      <c r="D49" s="860">
        <v>25.23</v>
      </c>
      <c r="E49" s="861">
        <f t="shared" si="1"/>
        <v>0</v>
      </c>
      <c r="F49" s="260"/>
      <c r="G49" s="343"/>
    </row>
    <row r="50" spans="1:7" s="39" customFormat="1" ht="11.25" customHeight="1">
      <c r="A50" s="857" t="s">
        <v>365</v>
      </c>
      <c r="B50" s="869" t="s">
        <v>347</v>
      </c>
      <c r="C50" s="870"/>
      <c r="D50" s="867"/>
      <c r="E50" s="889"/>
      <c r="G50" s="352"/>
    </row>
    <row r="51" spans="1:7" s="39" customFormat="1" ht="21.75" customHeight="1">
      <c r="A51" s="857" t="s">
        <v>370</v>
      </c>
      <c r="B51" s="858" t="str">
        <f>'[1]Проф раб'!C7</f>
        <v>Очистка техэтажей от мусора со сбором его в тару и отноской в установленное место</v>
      </c>
      <c r="C51" s="859" t="s">
        <v>241</v>
      </c>
      <c r="D51" s="860">
        <v>5.47</v>
      </c>
      <c r="E51" s="863">
        <f t="shared" si="1"/>
        <v>0</v>
      </c>
      <c r="G51" s="352"/>
    </row>
    <row r="52" spans="1:7" ht="11.25" customHeight="1">
      <c r="A52" s="857" t="s">
        <v>500</v>
      </c>
      <c r="B52" s="858" t="s">
        <v>165</v>
      </c>
      <c r="C52" s="859" t="s">
        <v>241</v>
      </c>
      <c r="D52" s="860">
        <f>профраб!I8</f>
        <v>0</v>
      </c>
      <c r="E52" s="863">
        <f t="shared" si="1"/>
        <v>0</v>
      </c>
      <c r="F52" s="260"/>
      <c r="G52" s="343"/>
    </row>
    <row r="53" spans="1:7" ht="10.5" customHeight="1">
      <c r="A53" s="857" t="s">
        <v>501</v>
      </c>
      <c r="B53" s="858" t="s">
        <v>166</v>
      </c>
      <c r="C53" s="859" t="s">
        <v>241</v>
      </c>
      <c r="D53" s="860">
        <v>610.18</v>
      </c>
      <c r="E53" s="861">
        <f t="shared" si="1"/>
        <v>0.05</v>
      </c>
      <c r="F53" s="260"/>
      <c r="G53" s="343"/>
    </row>
    <row r="54" spans="1:7" ht="12" customHeight="1">
      <c r="A54" s="857" t="s">
        <v>502</v>
      </c>
      <c r="B54" s="858" t="s">
        <v>113</v>
      </c>
      <c r="C54" s="859" t="s">
        <v>205</v>
      </c>
      <c r="D54" s="860">
        <f>профраб!I18</f>
        <v>516.7979727254238</v>
      </c>
      <c r="E54" s="861">
        <f t="shared" si="1"/>
        <v>0.04</v>
      </c>
      <c r="F54" s="260"/>
      <c r="G54" s="343"/>
    </row>
    <row r="55" spans="1:7" ht="12" customHeight="1">
      <c r="A55" s="857" t="s">
        <v>503</v>
      </c>
      <c r="B55" s="858" t="s">
        <v>118</v>
      </c>
      <c r="C55" s="859" t="s">
        <v>241</v>
      </c>
      <c r="D55" s="860">
        <f>профраб!I19</f>
        <v>0</v>
      </c>
      <c r="E55" s="861">
        <f t="shared" si="1"/>
        <v>0</v>
      </c>
      <c r="F55" s="260"/>
      <c r="G55" s="343"/>
    </row>
    <row r="56" spans="1:7" ht="11.25" customHeight="1">
      <c r="A56" s="857" t="s">
        <v>504</v>
      </c>
      <c r="B56" s="858" t="s">
        <v>255</v>
      </c>
      <c r="C56" s="859" t="s">
        <v>241</v>
      </c>
      <c r="D56" s="860">
        <v>255.5</v>
      </c>
      <c r="E56" s="861">
        <f t="shared" si="1"/>
        <v>0.02</v>
      </c>
      <c r="F56" s="260"/>
      <c r="G56" s="343"/>
    </row>
    <row r="57" spans="1:7" ht="36" customHeight="1">
      <c r="A57" s="857" t="s">
        <v>505</v>
      </c>
      <c r="B57" s="890" t="s">
        <v>762</v>
      </c>
      <c r="C57" s="859" t="s">
        <v>763</v>
      </c>
      <c r="D57" s="860">
        <v>18275.75</v>
      </c>
      <c r="E57" s="863">
        <f t="shared" si="1"/>
        <v>1.38</v>
      </c>
      <c r="F57" s="260"/>
      <c r="G57" s="343"/>
    </row>
    <row r="58" spans="1:7" s="261" customFormat="1" ht="11.25" customHeight="1">
      <c r="A58" s="991" t="s">
        <v>345</v>
      </c>
      <c r="B58" s="992"/>
      <c r="C58" s="992"/>
      <c r="D58" s="992"/>
      <c r="E58" s="993"/>
      <c r="F58" s="260"/>
      <c r="G58" s="343"/>
    </row>
    <row r="59" spans="1:7" s="260" customFormat="1" ht="12" customHeight="1">
      <c r="A59" s="857" t="s">
        <v>366</v>
      </c>
      <c r="B59" s="858" t="s">
        <v>191</v>
      </c>
      <c r="C59" s="859" t="s">
        <v>242</v>
      </c>
      <c r="D59" s="860"/>
      <c r="E59" s="861">
        <f aca="true" t="shared" si="2" ref="E59:E64">ROUND(D59/E$3/12,2)</f>
        <v>0</v>
      </c>
      <c r="G59" s="343"/>
    </row>
    <row r="60" spans="1:7" s="261" customFormat="1" ht="22.5" customHeight="1">
      <c r="A60" s="857" t="s">
        <v>764</v>
      </c>
      <c r="B60" s="858" t="s">
        <v>369</v>
      </c>
      <c r="C60" s="859" t="s">
        <v>258</v>
      </c>
      <c r="D60" s="860">
        <v>5000</v>
      </c>
      <c r="E60" s="861">
        <f t="shared" si="2"/>
        <v>0.38</v>
      </c>
      <c r="F60" s="260"/>
      <c r="G60" s="343"/>
    </row>
    <row r="61" spans="1:7" s="261" customFormat="1" ht="11.25" customHeight="1">
      <c r="A61" s="857" t="s">
        <v>488</v>
      </c>
      <c r="B61" s="858" t="s">
        <v>480</v>
      </c>
      <c r="C61" s="859" t="s">
        <v>242</v>
      </c>
      <c r="D61" s="860">
        <v>4080.52</v>
      </c>
      <c r="E61" s="861">
        <f t="shared" si="2"/>
        <v>0.31</v>
      </c>
      <c r="F61" s="260"/>
      <c r="G61" s="343"/>
    </row>
    <row r="62" spans="1:7" s="261" customFormat="1" ht="11.25" customHeight="1">
      <c r="A62" s="871" t="s">
        <v>381</v>
      </c>
      <c r="B62" s="872" t="s">
        <v>406</v>
      </c>
      <c r="C62" s="859" t="s">
        <v>242</v>
      </c>
      <c r="D62" s="873">
        <v>27015.16</v>
      </c>
      <c r="E62" s="861">
        <f t="shared" si="2"/>
        <v>2.04</v>
      </c>
      <c r="F62" s="260"/>
      <c r="G62" s="343"/>
    </row>
    <row r="63" spans="1:7" s="261" customFormat="1" ht="12" customHeight="1">
      <c r="A63" s="871" t="s">
        <v>715</v>
      </c>
      <c r="B63" s="872" t="s">
        <v>407</v>
      </c>
      <c r="C63" s="859" t="s">
        <v>242</v>
      </c>
      <c r="D63" s="873">
        <v>2954.48</v>
      </c>
      <c r="E63" s="861">
        <f t="shared" si="2"/>
        <v>0.22</v>
      </c>
      <c r="F63" s="260"/>
      <c r="G63" s="343"/>
    </row>
    <row r="64" spans="1:7" s="261" customFormat="1" ht="12" customHeight="1">
      <c r="A64" s="871" t="s">
        <v>716</v>
      </c>
      <c r="B64" s="872" t="s">
        <v>473</v>
      </c>
      <c r="C64" s="859" t="s">
        <v>242</v>
      </c>
      <c r="D64" s="873">
        <f>'ВСЕ раб'!H33</f>
        <v>0</v>
      </c>
      <c r="E64" s="861">
        <f t="shared" si="2"/>
        <v>0</v>
      </c>
      <c r="F64" s="260"/>
      <c r="G64" s="343"/>
    </row>
    <row r="65" spans="1:7" ht="14.25" customHeight="1" thickBot="1">
      <c r="A65" s="850"/>
      <c r="B65" s="893" t="s">
        <v>245</v>
      </c>
      <c r="C65" s="851"/>
      <c r="D65" s="892">
        <f>D5+D14+D29+D30+D32+D33+D34+D35+D36+D37+D38+D40+D41+D42+D43+D45+D46+D47+D49+D51+D52+D53+D54+D56+D57+D59+D60+D61+D62+D63+D64</f>
        <v>127241.31797272543</v>
      </c>
      <c r="E65" s="902">
        <f>D65/12/E3</f>
        <v>9.603698183492245</v>
      </c>
      <c r="F65" s="260"/>
      <c r="G65" s="343"/>
    </row>
    <row r="66" spans="1:5" ht="12.75">
      <c r="A66" s="257"/>
      <c r="B66" s="255"/>
      <c r="C66" s="254"/>
      <c r="D66" s="254"/>
      <c r="E66" s="856"/>
    </row>
    <row r="67" spans="1:5" ht="12.75">
      <c r="A67" s="258"/>
      <c r="E67" s="263"/>
    </row>
    <row r="68" spans="4:5" ht="12.75">
      <c r="D68" s="262"/>
      <c r="E68" s="903" t="s">
        <v>773</v>
      </c>
    </row>
    <row r="69" spans="2:5" ht="12.75">
      <c r="B69" s="997"/>
      <c r="C69" s="997"/>
      <c r="E69" s="903" t="s">
        <v>774</v>
      </c>
    </row>
    <row r="74" ht="12.75">
      <c r="E74" s="855"/>
    </row>
  </sheetData>
  <sheetProtection/>
  <mergeCells count="7">
    <mergeCell ref="A1:E1"/>
    <mergeCell ref="A13:E13"/>
    <mergeCell ref="A4:E4"/>
    <mergeCell ref="B69:C69"/>
    <mergeCell ref="A31:E31"/>
    <mergeCell ref="A39:E39"/>
    <mergeCell ref="A58:E58"/>
  </mergeCells>
  <printOptions/>
  <pageMargins left="0.7874015748031497" right="0.3937007874015748" top="0.1968503937007874" bottom="0" header="0.31496062992125984" footer="0.31496062992125984"/>
  <pageSetup horizontalDpi="600" verticalDpi="600" orientation="portrait" paperSize="9" scale="71" r:id="rId1"/>
  <rowBreaks count="1" manualBreakCount="1">
    <brk id="6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Normal="105" zoomScaleSheetLayoutView="100" zoomScalePageLayoutView="0" workbookViewId="0" topLeftCell="A1">
      <selection activeCell="G66" sqref="G66:L68"/>
    </sheetView>
  </sheetViews>
  <sheetFormatPr defaultColWidth="9.00390625" defaultRowHeight="12.75"/>
  <cols>
    <col min="1" max="1" width="6.625" style="0" customWidth="1"/>
    <col min="2" max="2" width="29.75390625" style="0" customWidth="1"/>
    <col min="3" max="3" width="9.375" style="0" customWidth="1"/>
    <col min="4" max="4" width="15.375" style="0" customWidth="1"/>
    <col min="5" max="5" width="15.375" style="904" customWidth="1"/>
    <col min="6" max="6" width="15.375" style="0" customWidth="1"/>
  </cols>
  <sheetData>
    <row r="1" spans="1:6" ht="12.75">
      <c r="A1" s="940"/>
      <c r="B1" s="946" t="s">
        <v>820</v>
      </c>
      <c r="C1" s="944"/>
      <c r="D1" s="944"/>
      <c r="E1" s="945"/>
      <c r="F1" s="944"/>
    </row>
    <row r="2" spans="1:6" ht="12.75">
      <c r="A2" s="940"/>
      <c r="B2" s="946" t="s">
        <v>819</v>
      </c>
      <c r="C2" s="944"/>
      <c r="D2" s="944"/>
      <c r="E2" s="945"/>
      <c r="F2" s="944"/>
    </row>
    <row r="3" spans="1:6" ht="12.75">
      <c r="A3" s="940"/>
      <c r="B3" s="999" t="s">
        <v>818</v>
      </c>
      <c r="C3" s="999"/>
      <c r="D3" s="999"/>
      <c r="E3" s="999"/>
      <c r="F3" s="999"/>
    </row>
    <row r="4" spans="1:6" s="339" customFormat="1" ht="12.75">
      <c r="A4" s="948"/>
      <c r="B4" s="943" t="s">
        <v>817</v>
      </c>
      <c r="C4" s="943"/>
      <c r="D4" s="943"/>
      <c r="E4" s="947"/>
      <c r="F4" s="943"/>
    </row>
    <row r="5" spans="1:6" ht="12.75">
      <c r="A5" s="940"/>
      <c r="B5" s="946" t="s">
        <v>816</v>
      </c>
      <c r="C5" s="944"/>
      <c r="D5" s="944"/>
      <c r="E5" s="945"/>
      <c r="F5" s="944"/>
    </row>
    <row r="6" spans="1:6" ht="12.75">
      <c r="A6" s="940"/>
      <c r="B6" s="943" t="s">
        <v>815</v>
      </c>
      <c r="C6" s="941"/>
      <c r="D6" s="941"/>
      <c r="E6" s="942"/>
      <c r="F6" s="941"/>
    </row>
    <row r="7" spans="1:6" ht="12.75">
      <c r="A7" s="940"/>
      <c r="B7" s="939"/>
      <c r="C7" s="939"/>
      <c r="D7" s="939"/>
      <c r="E7" s="938"/>
      <c r="F7" s="937" t="s">
        <v>814</v>
      </c>
    </row>
    <row r="8" spans="1:6" s="904" customFormat="1" ht="45">
      <c r="A8" s="909" t="s">
        <v>813</v>
      </c>
      <c r="B8" s="909" t="s">
        <v>812</v>
      </c>
      <c r="C8" s="936" t="s">
        <v>811</v>
      </c>
      <c r="D8" s="909" t="s">
        <v>810</v>
      </c>
      <c r="E8" s="909" t="s">
        <v>809</v>
      </c>
      <c r="F8" s="935" t="s">
        <v>808</v>
      </c>
    </row>
    <row r="9" spans="1:6" ht="22.5">
      <c r="A9" s="909"/>
      <c r="B9" s="909"/>
      <c r="C9" s="936" t="s">
        <v>807</v>
      </c>
      <c r="D9" s="909"/>
      <c r="E9" s="909"/>
      <c r="F9" s="935"/>
    </row>
    <row r="10" spans="1:6" ht="22.5">
      <c r="A10" s="909"/>
      <c r="B10" s="909" t="s">
        <v>806</v>
      </c>
      <c r="C10" s="936" t="s">
        <v>805</v>
      </c>
      <c r="D10" s="909"/>
      <c r="E10" s="909"/>
      <c r="F10" s="935"/>
    </row>
    <row r="11" spans="1:6" ht="12.75">
      <c r="A11" s="934" t="s">
        <v>199</v>
      </c>
      <c r="B11" s="934" t="s">
        <v>804</v>
      </c>
      <c r="C11" s="934"/>
      <c r="D11" s="933">
        <v>126</v>
      </c>
      <c r="E11" s="909">
        <v>122.2</v>
      </c>
      <c r="F11" s="933">
        <f>D11-E11</f>
        <v>3.799999999999997</v>
      </c>
    </row>
    <row r="12" spans="1:6" s="930" customFormat="1" ht="12.75">
      <c r="A12" s="915"/>
      <c r="B12" s="915" t="s">
        <v>803</v>
      </c>
      <c r="C12" s="915"/>
      <c r="D12" s="932"/>
      <c r="E12" s="905"/>
      <c r="F12" s="915"/>
    </row>
    <row r="13" spans="1:6" ht="22.5">
      <c r="A13" s="925" t="s">
        <v>199</v>
      </c>
      <c r="B13" s="929" t="s">
        <v>802</v>
      </c>
      <c r="C13" s="922">
        <v>1.6696</v>
      </c>
      <c r="D13" s="922">
        <v>21.892993199999996</v>
      </c>
      <c r="E13" s="926">
        <f>SUM(E14:E17)</f>
        <v>18.7</v>
      </c>
      <c r="F13" s="925"/>
    </row>
    <row r="14" spans="1:6" ht="12.75">
      <c r="A14" s="915"/>
      <c r="B14" s="915" t="s">
        <v>795</v>
      </c>
      <c r="C14" s="932">
        <v>1.1136</v>
      </c>
      <c r="D14" s="922">
        <v>14.409907199999997</v>
      </c>
      <c r="E14" s="910">
        <v>14.4</v>
      </c>
      <c r="F14" s="915"/>
    </row>
    <row r="15" spans="1:6" ht="12.75">
      <c r="A15" s="915"/>
      <c r="B15" s="915" t="s">
        <v>799</v>
      </c>
      <c r="C15" s="932">
        <v>0.291</v>
      </c>
      <c r="D15" s="922">
        <v>3.4987289999999995</v>
      </c>
      <c r="E15" s="910">
        <v>2.9</v>
      </c>
      <c r="F15" s="915"/>
    </row>
    <row r="16" spans="1:6" ht="12.75">
      <c r="A16" s="915"/>
      <c r="B16" s="915" t="s">
        <v>793</v>
      </c>
      <c r="C16" s="932">
        <v>0.225</v>
      </c>
      <c r="D16" s="922">
        <v>3.4545809999999997</v>
      </c>
      <c r="E16" s="910">
        <v>0.4</v>
      </c>
      <c r="F16" s="915"/>
    </row>
    <row r="17" spans="1:6" s="930" customFormat="1" ht="12.75">
      <c r="A17" s="915"/>
      <c r="B17" s="915" t="s">
        <v>801</v>
      </c>
      <c r="C17" s="932">
        <v>0.04</v>
      </c>
      <c r="D17" s="922">
        <v>0.529776</v>
      </c>
      <c r="E17" s="910">
        <v>1</v>
      </c>
      <c r="F17" s="915"/>
    </row>
    <row r="18" spans="1:6" ht="12.75">
      <c r="A18" s="925" t="s">
        <v>353</v>
      </c>
      <c r="B18" s="925" t="s">
        <v>800</v>
      </c>
      <c r="C18" s="922">
        <v>1.2400000000000002</v>
      </c>
      <c r="D18" s="922">
        <v>15.804984000000001</v>
      </c>
      <c r="E18" s="926">
        <f>SUM(E19:E22)</f>
        <v>16.2</v>
      </c>
      <c r="F18" s="925"/>
    </row>
    <row r="19" spans="1:6" ht="12.75">
      <c r="A19" s="915"/>
      <c r="B19" s="915" t="s">
        <v>795</v>
      </c>
      <c r="C19" s="932">
        <v>0.86</v>
      </c>
      <c r="D19" s="922">
        <v>11.147369999999999</v>
      </c>
      <c r="E19" s="910">
        <v>12.3</v>
      </c>
      <c r="F19" s="915"/>
    </row>
    <row r="20" spans="1:6" ht="12.75">
      <c r="A20" s="915"/>
      <c r="B20" s="915" t="s">
        <v>799</v>
      </c>
      <c r="C20" s="932">
        <v>0.23</v>
      </c>
      <c r="D20" s="922">
        <v>2.75925</v>
      </c>
      <c r="E20" s="910">
        <v>2.5</v>
      </c>
      <c r="F20" s="915"/>
    </row>
    <row r="21" spans="1:6" ht="12.75">
      <c r="A21" s="915"/>
      <c r="B21" s="915" t="s">
        <v>793</v>
      </c>
      <c r="C21" s="932">
        <v>0.1</v>
      </c>
      <c r="D21" s="922">
        <v>1.280292</v>
      </c>
      <c r="E21" s="910">
        <v>1.4</v>
      </c>
      <c r="F21" s="915"/>
    </row>
    <row r="22" spans="1:6" s="930" customFormat="1" ht="12.75">
      <c r="A22" s="915"/>
      <c r="B22" s="915" t="s">
        <v>798</v>
      </c>
      <c r="C22" s="932">
        <v>0.05</v>
      </c>
      <c r="D22" s="922">
        <v>0.618072</v>
      </c>
      <c r="E22" s="910">
        <v>0</v>
      </c>
      <c r="F22" s="915"/>
    </row>
    <row r="23" spans="1:6" ht="33.75">
      <c r="A23" s="925" t="s">
        <v>797</v>
      </c>
      <c r="B23" s="929" t="s">
        <v>796</v>
      </c>
      <c r="C23" s="922">
        <v>2.53</v>
      </c>
      <c r="D23" s="922">
        <v>31.76448599999999</v>
      </c>
      <c r="E23" s="926">
        <v>32.13</v>
      </c>
      <c r="F23" s="925"/>
    </row>
    <row r="24" spans="1:6" ht="12.75">
      <c r="A24" s="915"/>
      <c r="B24" s="915" t="s">
        <v>795</v>
      </c>
      <c r="C24" s="932">
        <v>1.93</v>
      </c>
      <c r="D24" s="922">
        <v>24.104808</v>
      </c>
      <c r="E24" s="910">
        <v>22.9</v>
      </c>
      <c r="F24" s="915"/>
    </row>
    <row r="25" spans="1:6" ht="12.75">
      <c r="A25" s="915"/>
      <c r="B25" s="915" t="s">
        <v>794</v>
      </c>
      <c r="C25" s="932">
        <v>0.505</v>
      </c>
      <c r="D25" s="922">
        <v>5.971016999999999</v>
      </c>
      <c r="E25" s="910">
        <v>4.6</v>
      </c>
      <c r="F25" s="915"/>
    </row>
    <row r="26" spans="1:6" s="931" customFormat="1" ht="12.75">
      <c r="A26" s="915"/>
      <c r="B26" s="915" t="s">
        <v>793</v>
      </c>
      <c r="C26" s="932">
        <v>0.095</v>
      </c>
      <c r="D26" s="922">
        <v>1.6886609999999997</v>
      </c>
      <c r="E26" s="910">
        <v>2.4</v>
      </c>
      <c r="F26" s="915"/>
    </row>
    <row r="27" spans="1:6" s="930" customFormat="1" ht="12.75">
      <c r="A27" s="915"/>
      <c r="B27" s="915" t="s">
        <v>792</v>
      </c>
      <c r="C27" s="915">
        <v>0.15</v>
      </c>
      <c r="D27" s="922">
        <v>1.9601711999999998</v>
      </c>
      <c r="E27" s="910">
        <v>2.23</v>
      </c>
      <c r="F27" s="915"/>
    </row>
    <row r="28" spans="1:6" ht="12.75">
      <c r="A28" s="915">
        <v>4</v>
      </c>
      <c r="B28" s="915" t="s">
        <v>779</v>
      </c>
      <c r="C28" s="915">
        <v>1.33</v>
      </c>
      <c r="D28" s="922">
        <v>78.1</v>
      </c>
      <c r="E28" s="910">
        <v>26.3</v>
      </c>
      <c r="F28" s="915"/>
    </row>
    <row r="29" spans="1:6" ht="12.75">
      <c r="A29" s="915"/>
      <c r="B29" s="915" t="s">
        <v>778</v>
      </c>
      <c r="C29" s="915">
        <v>1.11</v>
      </c>
      <c r="D29" s="922">
        <v>65</v>
      </c>
      <c r="E29" s="910">
        <v>21.9</v>
      </c>
      <c r="F29" s="915"/>
    </row>
    <row r="30" spans="1:6" ht="12.75">
      <c r="A30" s="915"/>
      <c r="B30" s="915" t="s">
        <v>776</v>
      </c>
      <c r="C30" s="915">
        <v>0.22</v>
      </c>
      <c r="D30" s="922">
        <v>13.1</v>
      </c>
      <c r="E30" s="910">
        <v>4.4</v>
      </c>
      <c r="F30" s="915"/>
    </row>
    <row r="31" spans="1:6" ht="12.75">
      <c r="A31" s="925">
        <v>5</v>
      </c>
      <c r="B31" s="925" t="s">
        <v>791</v>
      </c>
      <c r="C31" s="925">
        <v>0.44</v>
      </c>
      <c r="D31" s="922">
        <v>6.445608</v>
      </c>
      <c r="E31" s="926">
        <v>2.1</v>
      </c>
      <c r="F31" s="925"/>
    </row>
    <row r="32" spans="1:6" ht="32.25" customHeight="1">
      <c r="A32" s="925">
        <v>6</v>
      </c>
      <c r="B32" s="929" t="s">
        <v>790</v>
      </c>
      <c r="C32" s="925">
        <v>0.63</v>
      </c>
      <c r="D32" s="922">
        <v>8.27775</v>
      </c>
      <c r="E32" s="926">
        <f>SUM(E33:E36)</f>
        <v>5.6</v>
      </c>
      <c r="F32" s="925"/>
    </row>
    <row r="33" spans="1:6" s="904" customFormat="1" ht="12.75">
      <c r="A33" s="915"/>
      <c r="B33" s="915" t="s">
        <v>789</v>
      </c>
      <c r="C33" s="915">
        <v>0.25</v>
      </c>
      <c r="D33" s="922">
        <v>3.2228039999999996</v>
      </c>
      <c r="E33" s="910">
        <v>3.7</v>
      </c>
      <c r="F33" s="915"/>
    </row>
    <row r="34" spans="1:6" s="904" customFormat="1" ht="12.75">
      <c r="A34" s="915"/>
      <c r="B34" s="915" t="s">
        <v>788</v>
      </c>
      <c r="C34" s="915">
        <v>0.035</v>
      </c>
      <c r="D34" s="922">
        <v>0.45008886</v>
      </c>
      <c r="E34" s="906"/>
      <c r="F34" s="915"/>
    </row>
    <row r="35" spans="1:6" s="904" customFormat="1" ht="45">
      <c r="A35" s="915"/>
      <c r="B35" s="916" t="s">
        <v>787</v>
      </c>
      <c r="C35" s="915">
        <v>0.105</v>
      </c>
      <c r="D35" s="922">
        <v>1.3663805999999998</v>
      </c>
      <c r="E35" s="910">
        <v>0</v>
      </c>
      <c r="F35" s="915"/>
    </row>
    <row r="36" spans="1:6" s="5" customFormat="1" ht="12.75">
      <c r="A36" s="915"/>
      <c r="B36" s="915" t="s">
        <v>786</v>
      </c>
      <c r="C36" s="915">
        <v>0.09</v>
      </c>
      <c r="D36" s="922">
        <v>1.2783053399999997</v>
      </c>
      <c r="E36" s="910">
        <v>1.9</v>
      </c>
      <c r="F36" s="915"/>
    </row>
    <row r="37" spans="1:6" s="928" customFormat="1" ht="12.75">
      <c r="A37" s="925">
        <v>7</v>
      </c>
      <c r="B37" s="925" t="s">
        <v>785</v>
      </c>
      <c r="C37" s="925">
        <v>0.27</v>
      </c>
      <c r="D37" s="922">
        <v>3.5759879999999997</v>
      </c>
      <c r="E37" s="926">
        <v>5.5</v>
      </c>
      <c r="F37" s="925"/>
    </row>
    <row r="38" spans="1:6" s="927" customFormat="1" ht="12.75">
      <c r="A38" s="925">
        <v>8</v>
      </c>
      <c r="B38" s="925" t="s">
        <v>784</v>
      </c>
      <c r="C38" s="925">
        <v>1.81</v>
      </c>
      <c r="D38" s="922">
        <v>22.956960000000002</v>
      </c>
      <c r="E38" s="926">
        <v>8.1</v>
      </c>
      <c r="F38" s="925"/>
    </row>
    <row r="39" spans="1:6" s="805" customFormat="1" ht="12.75">
      <c r="A39" s="925">
        <v>9</v>
      </c>
      <c r="B39" s="925" t="s">
        <v>783</v>
      </c>
      <c r="C39" s="925">
        <v>0.21</v>
      </c>
      <c r="D39" s="922">
        <v>3.266952</v>
      </c>
      <c r="E39" s="926">
        <v>1.6</v>
      </c>
      <c r="F39" s="925"/>
    </row>
    <row r="40" spans="1:6" s="805" customFormat="1" ht="12.75">
      <c r="A40" s="924"/>
      <c r="B40" s="924" t="s">
        <v>782</v>
      </c>
      <c r="C40" s="923">
        <v>9.6</v>
      </c>
      <c r="D40" s="922">
        <v>113.9857212</v>
      </c>
      <c r="E40" s="921">
        <v>116.23</v>
      </c>
      <c r="F40" s="920"/>
    </row>
    <row r="41" spans="1:6" ht="14.25" customHeight="1">
      <c r="A41" s="918"/>
      <c r="B41" s="918" t="s">
        <v>781</v>
      </c>
      <c r="C41" s="918"/>
      <c r="D41" s="918"/>
      <c r="E41" s="919">
        <f>E11-E40</f>
        <v>5.969999999999999</v>
      </c>
      <c r="F41" s="918"/>
    </row>
    <row r="42" spans="1:6" ht="1.5" customHeight="1">
      <c r="A42" s="905"/>
      <c r="B42" s="909"/>
      <c r="C42" s="909"/>
      <c r="D42" s="909"/>
      <c r="E42" s="910"/>
      <c r="F42" s="909"/>
    </row>
    <row r="43" spans="1:6" ht="12.75" hidden="1">
      <c r="A43" s="905"/>
      <c r="B43" s="908"/>
      <c r="C43" s="907"/>
      <c r="D43" s="905"/>
      <c r="E43" s="906"/>
      <c r="F43" s="905"/>
    </row>
    <row r="44" spans="1:6" ht="12.75" hidden="1">
      <c r="A44" s="834"/>
      <c r="B44" s="998" t="s">
        <v>780</v>
      </c>
      <c r="C44" s="998"/>
      <c r="D44" s="998"/>
      <c r="E44" s="998"/>
      <c r="F44" s="998"/>
    </row>
    <row r="45" spans="1:6" ht="12.75" hidden="1">
      <c r="A45" s="834"/>
      <c r="B45" s="834"/>
      <c r="C45" s="834"/>
      <c r="D45" s="834"/>
      <c r="E45" s="834"/>
      <c r="F45" s="834"/>
    </row>
    <row r="46" spans="1:6" ht="1.5" customHeight="1" hidden="1">
      <c r="A46" s="915"/>
      <c r="B46" s="915"/>
      <c r="C46" s="915"/>
      <c r="D46" s="915"/>
      <c r="E46" s="906"/>
      <c r="F46" s="915"/>
    </row>
    <row r="47" spans="1:6" ht="12.75" hidden="1">
      <c r="A47" s="915"/>
      <c r="B47" s="917"/>
      <c r="C47" s="917"/>
      <c r="D47" s="915"/>
      <c r="E47" s="906"/>
      <c r="F47" s="915"/>
    </row>
    <row r="48" spans="1:6" ht="12.75" hidden="1">
      <c r="A48" s="915"/>
      <c r="B48" s="916"/>
      <c r="C48" s="915"/>
      <c r="D48" s="915"/>
      <c r="E48" s="906"/>
      <c r="F48" s="915"/>
    </row>
    <row r="49" spans="1:6" ht="12.75" hidden="1">
      <c r="A49" s="915"/>
      <c r="B49" s="915"/>
      <c r="C49" s="915"/>
      <c r="D49" s="915"/>
      <c r="E49" s="905"/>
      <c r="F49" s="915"/>
    </row>
    <row r="50" spans="1:6" ht="12.75" hidden="1">
      <c r="A50" s="915"/>
      <c r="B50" s="915"/>
      <c r="C50" s="915"/>
      <c r="D50" s="915"/>
      <c r="E50" s="905"/>
      <c r="F50" s="915"/>
    </row>
    <row r="51" spans="1:6" ht="12.75" hidden="1">
      <c r="A51" s="915"/>
      <c r="B51" s="915"/>
      <c r="C51" s="915"/>
      <c r="D51" s="915"/>
      <c r="E51" s="905"/>
      <c r="F51" s="915"/>
    </row>
    <row r="52" spans="1:6" ht="12.75" hidden="1">
      <c r="A52" s="915"/>
      <c r="B52" s="915"/>
      <c r="C52" s="915"/>
      <c r="D52" s="915"/>
      <c r="E52" s="905"/>
      <c r="F52" s="915"/>
    </row>
    <row r="53" spans="1:6" ht="12.75" hidden="1">
      <c r="A53" s="915"/>
      <c r="B53" s="915"/>
      <c r="C53" s="915"/>
      <c r="D53" s="915"/>
      <c r="E53" s="905"/>
      <c r="F53" s="915"/>
    </row>
    <row r="54" spans="1:6" s="914" customFormat="1" ht="12.75" hidden="1">
      <c r="A54" s="915"/>
      <c r="B54" s="915"/>
      <c r="C54" s="915"/>
      <c r="D54" s="915"/>
      <c r="E54" s="906"/>
      <c r="F54" s="915"/>
    </row>
    <row r="55" spans="1:6" ht="12.75" hidden="1">
      <c r="A55" s="808"/>
      <c r="B55" s="808"/>
      <c r="C55" s="808"/>
      <c r="D55" s="808"/>
      <c r="E55" s="912"/>
      <c r="F55" s="808"/>
    </row>
    <row r="56" spans="1:6" ht="12.75" hidden="1">
      <c r="A56" s="808"/>
      <c r="B56" s="808"/>
      <c r="C56" s="808"/>
      <c r="D56" s="808"/>
      <c r="E56" s="912"/>
      <c r="F56" s="808"/>
    </row>
    <row r="57" spans="1:6" ht="12.75" hidden="1">
      <c r="A57" s="808"/>
      <c r="B57" s="808"/>
      <c r="C57" s="808"/>
      <c r="D57" s="808"/>
      <c r="E57" s="912"/>
      <c r="F57" s="808"/>
    </row>
    <row r="58" spans="1:6" s="914" customFormat="1" ht="12.75" hidden="1">
      <c r="A58" s="911"/>
      <c r="B58" s="911"/>
      <c r="C58" s="911"/>
      <c r="D58" s="911"/>
      <c r="E58" s="913"/>
      <c r="F58" s="911"/>
    </row>
    <row r="59" spans="1:6" ht="12.75" hidden="1">
      <c r="A59" s="808"/>
      <c r="B59" s="808"/>
      <c r="C59" s="808"/>
      <c r="D59" s="808"/>
      <c r="E59" s="912"/>
      <c r="F59" s="808"/>
    </row>
    <row r="60" spans="1:6" ht="12.75" hidden="1">
      <c r="A60" s="808"/>
      <c r="B60" s="808"/>
      <c r="C60" s="808"/>
      <c r="D60" s="808"/>
      <c r="E60" s="912"/>
      <c r="F60" s="808"/>
    </row>
    <row r="61" spans="1:6" ht="12.75" hidden="1">
      <c r="A61" s="808"/>
      <c r="B61" s="808"/>
      <c r="C61" s="808"/>
      <c r="D61" s="808"/>
      <c r="E61" s="912"/>
      <c r="F61" s="808"/>
    </row>
    <row r="62" spans="1:6" ht="12.75" hidden="1">
      <c r="A62" s="911"/>
      <c r="B62" s="911"/>
      <c r="C62" s="911"/>
      <c r="D62" s="911"/>
      <c r="E62" s="913"/>
      <c r="F62" s="911"/>
    </row>
    <row r="63" spans="1:6" ht="12.75" hidden="1">
      <c r="A63" s="808"/>
      <c r="B63" s="808"/>
      <c r="C63" s="808"/>
      <c r="D63" s="808"/>
      <c r="E63" s="912"/>
      <c r="F63" s="808"/>
    </row>
    <row r="64" spans="1:6" ht="12.75" hidden="1">
      <c r="A64" s="808"/>
      <c r="B64" s="808"/>
      <c r="C64" s="808"/>
      <c r="D64" s="808"/>
      <c r="E64" s="912"/>
      <c r="F64" s="808"/>
    </row>
    <row r="65" spans="1:6" ht="12.75" hidden="1">
      <c r="A65" s="808"/>
      <c r="B65" s="808"/>
      <c r="C65" s="808"/>
      <c r="D65" s="808"/>
      <c r="E65" s="911"/>
      <c r="F65" s="808"/>
    </row>
    <row r="66" spans="1:11" ht="12.75">
      <c r="A66" s="808"/>
      <c r="B66" s="808"/>
      <c r="C66" s="808"/>
      <c r="D66" s="808"/>
      <c r="E66" s="911"/>
      <c r="F66" s="808"/>
      <c r="G66">
        <v>4</v>
      </c>
      <c r="H66" t="s">
        <v>779</v>
      </c>
      <c r="I66">
        <v>1.33</v>
      </c>
      <c r="J66">
        <v>78.1</v>
      </c>
      <c r="K66">
        <v>34.4</v>
      </c>
    </row>
    <row r="67" spans="1:11" ht="12.75">
      <c r="A67" s="808"/>
      <c r="B67" s="808"/>
      <c r="C67" s="808"/>
      <c r="D67" s="808"/>
      <c r="E67" s="911"/>
      <c r="F67" s="808"/>
      <c r="H67" t="s">
        <v>778</v>
      </c>
      <c r="I67">
        <v>1.11</v>
      </c>
      <c r="J67">
        <v>65</v>
      </c>
      <c r="K67">
        <v>28.6</v>
      </c>
    </row>
    <row r="68" spans="1:11" ht="12.75">
      <c r="A68" s="905"/>
      <c r="B68" s="909" t="s">
        <v>777</v>
      </c>
      <c r="C68" s="909"/>
      <c r="D68" s="909"/>
      <c r="E68" s="910"/>
      <c r="F68" s="808"/>
      <c r="H68" t="s">
        <v>776</v>
      </c>
      <c r="I68">
        <v>0.22</v>
      </c>
      <c r="J68">
        <v>13.1</v>
      </c>
      <c r="K68">
        <v>5.8</v>
      </c>
    </row>
    <row r="69" spans="1:6" ht="12.75">
      <c r="A69" s="905"/>
      <c r="B69" s="908" t="s">
        <v>775</v>
      </c>
      <c r="C69" s="907"/>
      <c r="D69" s="905"/>
      <c r="E69" s="906"/>
      <c r="F69" s="909"/>
    </row>
    <row r="70" spans="1:6" ht="12.75">
      <c r="A70" s="905"/>
      <c r="B70" s="908"/>
      <c r="C70" s="907"/>
      <c r="D70" s="905"/>
      <c r="E70" s="906"/>
      <c r="F70" s="905"/>
    </row>
  </sheetData>
  <sheetProtection/>
  <mergeCells count="2">
    <mergeCell ref="B44:F44"/>
    <mergeCell ref="B3:F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105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2.625" style="0" customWidth="1"/>
    <col min="2" max="2" width="28.625" style="0" customWidth="1"/>
    <col min="3" max="3" width="9.25390625" style="0" customWidth="1"/>
    <col min="4" max="4" width="9.625" style="0" customWidth="1"/>
    <col min="5" max="5" width="11.375" style="0" customWidth="1"/>
    <col min="6" max="6" width="11.75390625" style="904" customWidth="1"/>
    <col min="7" max="7" width="15.375" style="0" customWidth="1"/>
  </cols>
  <sheetData>
    <row r="1" spans="1:7" ht="12.75">
      <c r="A1" s="940"/>
      <c r="B1" s="946" t="s">
        <v>845</v>
      </c>
      <c r="C1" s="946"/>
      <c r="D1" s="944"/>
      <c r="E1" s="944"/>
      <c r="F1" s="945"/>
      <c r="G1" s="944"/>
    </row>
    <row r="2" spans="1:7" ht="12.75">
      <c r="A2" s="940"/>
      <c r="B2" s="946" t="s">
        <v>819</v>
      </c>
      <c r="C2" s="946"/>
      <c r="D2" s="944"/>
      <c r="E2" s="944"/>
      <c r="F2" s="945"/>
      <c r="G2" s="944"/>
    </row>
    <row r="3" spans="1:7" ht="12.75">
      <c r="A3" s="940"/>
      <c r="B3" s="999" t="s">
        <v>818</v>
      </c>
      <c r="C3" s="999"/>
      <c r="D3" s="999"/>
      <c r="E3" s="999"/>
      <c r="F3" s="999"/>
      <c r="G3" s="999"/>
    </row>
    <row r="4" spans="1:7" s="339" customFormat="1" ht="12.75">
      <c r="A4" s="948"/>
      <c r="B4" s="943" t="s">
        <v>844</v>
      </c>
      <c r="C4" s="943"/>
      <c r="D4" s="943"/>
      <c r="E4" s="943"/>
      <c r="F4" s="947"/>
      <c r="G4" s="943"/>
    </row>
    <row r="5" spans="1:7" ht="12.75">
      <c r="A5" s="940"/>
      <c r="B5" s="946" t="s">
        <v>816</v>
      </c>
      <c r="C5" s="946"/>
      <c r="D5" s="944"/>
      <c r="E5" s="944"/>
      <c r="F5" s="945"/>
      <c r="G5" s="944"/>
    </row>
    <row r="6" spans="1:7" ht="12.75">
      <c r="A6" s="940"/>
      <c r="B6" s="943" t="s">
        <v>843</v>
      </c>
      <c r="C6" s="943"/>
      <c r="D6" s="941"/>
      <c r="E6" s="941"/>
      <c r="F6" s="942"/>
      <c r="G6" s="941"/>
    </row>
    <row r="7" spans="1:7" ht="12.75">
      <c r="A7" s="940"/>
      <c r="B7" s="939"/>
      <c r="C7" s="939"/>
      <c r="D7" s="939"/>
      <c r="E7" s="939"/>
      <c r="F7" s="938"/>
      <c r="G7" s="937" t="s">
        <v>842</v>
      </c>
    </row>
    <row r="8" spans="1:7" s="904" customFormat="1" ht="21.75" customHeight="1">
      <c r="A8" s="909" t="s">
        <v>813</v>
      </c>
      <c r="B8" s="909" t="s">
        <v>812</v>
      </c>
      <c r="C8" s="936" t="s">
        <v>841</v>
      </c>
      <c r="D8" s="936" t="s">
        <v>841</v>
      </c>
      <c r="E8" s="909" t="s">
        <v>840</v>
      </c>
      <c r="F8" s="909" t="s">
        <v>839</v>
      </c>
      <c r="G8" s="935" t="s">
        <v>808</v>
      </c>
    </row>
    <row r="9" spans="1:7" ht="22.5">
      <c r="A9" s="909"/>
      <c r="B9" s="909" t="s">
        <v>806</v>
      </c>
      <c r="C9" s="936" t="s">
        <v>838</v>
      </c>
      <c r="D9" s="936" t="s">
        <v>837</v>
      </c>
      <c r="E9" s="909"/>
      <c r="F9" s="909"/>
      <c r="G9" s="935"/>
    </row>
    <row r="10" spans="1:7" ht="12.75">
      <c r="A10" s="934" t="s">
        <v>199</v>
      </c>
      <c r="B10" s="934" t="s">
        <v>804</v>
      </c>
      <c r="C10" s="934"/>
      <c r="D10" s="934"/>
      <c r="E10" s="933">
        <v>133834.74</v>
      </c>
      <c r="F10" s="909">
        <v>136923.35</v>
      </c>
      <c r="G10" s="933">
        <f>E10-F10</f>
        <v>-3088.610000000015</v>
      </c>
    </row>
    <row r="11" spans="1:7" ht="12.75">
      <c r="A11" s="915"/>
      <c r="B11" s="915" t="s">
        <v>803</v>
      </c>
      <c r="C11" s="915"/>
      <c r="D11" s="915"/>
      <c r="E11" s="932"/>
      <c r="F11" s="905"/>
      <c r="G11" s="915"/>
    </row>
    <row r="12" spans="1:7" s="930" customFormat="1" ht="22.5">
      <c r="A12" s="925" t="s">
        <v>199</v>
      </c>
      <c r="B12" s="929" t="s">
        <v>836</v>
      </c>
      <c r="C12" s="1014">
        <v>1.18</v>
      </c>
      <c r="D12" s="926">
        <v>1.36</v>
      </c>
      <c r="E12" s="926">
        <v>16826.49</v>
      </c>
      <c r="F12" s="1011">
        <v>23554.43</v>
      </c>
      <c r="G12" s="925"/>
    </row>
    <row r="13" spans="1:7" ht="12.75">
      <c r="A13" s="915"/>
      <c r="B13" s="915" t="s">
        <v>795</v>
      </c>
      <c r="C13" s="915"/>
      <c r="D13" s="932"/>
      <c r="E13" s="922"/>
      <c r="F13" s="910">
        <v>16528.38</v>
      </c>
      <c r="G13" s="915"/>
    </row>
    <row r="14" spans="1:7" ht="12.75">
      <c r="A14" s="915"/>
      <c r="B14" s="915" t="s">
        <v>832</v>
      </c>
      <c r="C14" s="915"/>
      <c r="D14" s="932"/>
      <c r="E14" s="922"/>
      <c r="F14" s="910">
        <v>3338.73</v>
      </c>
      <c r="G14" s="915"/>
    </row>
    <row r="15" spans="1:7" ht="12.75">
      <c r="A15" s="915"/>
      <c r="B15" s="915" t="s">
        <v>793</v>
      </c>
      <c r="C15" s="915"/>
      <c r="D15" s="932"/>
      <c r="E15" s="922"/>
      <c r="F15" s="910">
        <v>165.62</v>
      </c>
      <c r="G15" s="915"/>
    </row>
    <row r="16" spans="1:7" ht="12.75">
      <c r="A16" s="915"/>
      <c r="B16" s="915" t="s">
        <v>801</v>
      </c>
      <c r="C16" s="915"/>
      <c r="D16" s="932"/>
      <c r="E16" s="922"/>
      <c r="F16" s="910">
        <v>3477.54</v>
      </c>
      <c r="G16" s="915"/>
    </row>
    <row r="17" spans="1:7" s="930" customFormat="1" ht="12.75">
      <c r="A17" s="915"/>
      <c r="B17" s="915" t="s">
        <v>835</v>
      </c>
      <c r="C17" s="915"/>
      <c r="D17" s="932"/>
      <c r="E17" s="922"/>
      <c r="F17" s="910">
        <v>44.16</v>
      </c>
      <c r="G17" s="915"/>
    </row>
    <row r="18" spans="1:7" ht="12.75">
      <c r="A18" s="925" t="s">
        <v>353</v>
      </c>
      <c r="B18" s="925" t="s">
        <v>800</v>
      </c>
      <c r="C18" s="1009">
        <v>0.05</v>
      </c>
      <c r="D18" s="926">
        <v>0.05</v>
      </c>
      <c r="E18" s="926">
        <v>662.46</v>
      </c>
      <c r="F18" s="1011">
        <v>18187.7</v>
      </c>
      <c r="G18" s="925"/>
    </row>
    <row r="19" spans="1:7" ht="12.75">
      <c r="A19" s="915"/>
      <c r="B19" s="915" t="s">
        <v>795</v>
      </c>
      <c r="C19" s="915"/>
      <c r="D19" s="932"/>
      <c r="E19" s="922"/>
      <c r="F19" s="910">
        <v>13735</v>
      </c>
      <c r="G19" s="915"/>
    </row>
    <row r="20" spans="1:7" ht="12.75">
      <c r="A20" s="915"/>
      <c r="B20" s="915" t="s">
        <v>832</v>
      </c>
      <c r="C20" s="915"/>
      <c r="D20" s="932"/>
      <c r="E20" s="922"/>
      <c r="F20" s="910">
        <v>2774.47</v>
      </c>
      <c r="G20" s="915"/>
    </row>
    <row r="21" spans="1:7" ht="12.75">
      <c r="A21" s="915"/>
      <c r="B21" s="915" t="s">
        <v>793</v>
      </c>
      <c r="C21" s="915"/>
      <c r="D21" s="932"/>
      <c r="E21" s="922"/>
      <c r="F21" s="910">
        <v>1678.23</v>
      </c>
      <c r="G21" s="915"/>
    </row>
    <row r="22" spans="1:7" s="930" customFormat="1" ht="33.75">
      <c r="A22" s="925" t="s">
        <v>797</v>
      </c>
      <c r="B22" s="929" t="s">
        <v>796</v>
      </c>
      <c r="C22" s="1014">
        <v>3.41</v>
      </c>
      <c r="D22" s="926">
        <v>3.75</v>
      </c>
      <c r="E22" s="926">
        <v>47432.14</v>
      </c>
      <c r="F22" s="1011">
        <v>34683.73</v>
      </c>
      <c r="G22" s="925"/>
    </row>
    <row r="23" spans="1:7" ht="12.75">
      <c r="A23" s="915"/>
      <c r="B23" s="915" t="s">
        <v>795</v>
      </c>
      <c r="C23" s="915"/>
      <c r="D23" s="932"/>
      <c r="E23" s="922"/>
      <c r="F23" s="910">
        <v>25162.44</v>
      </c>
      <c r="G23" s="915"/>
    </row>
    <row r="24" spans="1:7" ht="12.75">
      <c r="A24" s="915"/>
      <c r="B24" s="915" t="s">
        <v>832</v>
      </c>
      <c r="C24" s="915"/>
      <c r="D24" s="932"/>
      <c r="E24" s="922"/>
      <c r="F24" s="910">
        <v>5082.81</v>
      </c>
      <c r="G24" s="915"/>
    </row>
    <row r="25" spans="1:7" ht="12.75">
      <c r="A25" s="915"/>
      <c r="B25" s="915" t="s">
        <v>793</v>
      </c>
      <c r="C25" s="915"/>
      <c r="D25" s="932"/>
      <c r="E25" s="922"/>
      <c r="F25" s="910">
        <v>2186.12</v>
      </c>
      <c r="G25" s="915"/>
    </row>
    <row r="26" spans="1:7" s="931" customFormat="1" ht="12.75">
      <c r="A26" s="915"/>
      <c r="B26" s="915" t="s">
        <v>792</v>
      </c>
      <c r="C26" s="915"/>
      <c r="D26" s="915"/>
      <c r="E26" s="922"/>
      <c r="F26" s="910">
        <v>2252.36</v>
      </c>
      <c r="G26" s="915"/>
    </row>
    <row r="27" spans="1:7" s="930" customFormat="1" ht="12.75">
      <c r="A27" s="915"/>
      <c r="B27" s="915" t="s">
        <v>834</v>
      </c>
      <c r="C27" s="915"/>
      <c r="D27" s="915"/>
      <c r="E27" s="922"/>
      <c r="F27" s="1010">
        <v>276.03</v>
      </c>
      <c r="G27" s="915"/>
    </row>
    <row r="28" spans="1:7" ht="12.75">
      <c r="A28" s="915">
        <v>4</v>
      </c>
      <c r="B28" s="915" t="s">
        <v>833</v>
      </c>
      <c r="C28" s="915"/>
      <c r="D28" s="915"/>
      <c r="E28" s="922"/>
      <c r="F28" s="1010">
        <v>26555.83</v>
      </c>
      <c r="G28" s="915"/>
    </row>
    <row r="29" spans="1:7" ht="12.75">
      <c r="A29" s="915"/>
      <c r="B29" s="915" t="s">
        <v>778</v>
      </c>
      <c r="C29" s="915"/>
      <c r="D29" s="915"/>
      <c r="E29" s="922"/>
      <c r="F29" s="910">
        <v>22093.04</v>
      </c>
      <c r="G29" s="915"/>
    </row>
    <row r="30" spans="1:7" ht="12.75">
      <c r="A30" s="915"/>
      <c r="B30" s="915" t="s">
        <v>832</v>
      </c>
      <c r="C30" s="915"/>
      <c r="D30" s="915"/>
      <c r="E30" s="922"/>
      <c r="F30" s="910">
        <v>4462.79</v>
      </c>
      <c r="G30" s="915"/>
    </row>
    <row r="31" spans="1:7" ht="21.75" customHeight="1">
      <c r="A31" s="925">
        <v>5</v>
      </c>
      <c r="B31" s="925" t="s">
        <v>831</v>
      </c>
      <c r="C31" s="925"/>
      <c r="D31" s="925"/>
      <c r="E31" s="922"/>
      <c r="F31" s="1011">
        <v>9547.83</v>
      </c>
      <c r="G31" s="925"/>
    </row>
    <row r="32" spans="1:7" ht="16.5" customHeight="1">
      <c r="A32" s="925">
        <v>6</v>
      </c>
      <c r="B32" s="929" t="s">
        <v>790</v>
      </c>
      <c r="C32" s="1013">
        <v>0.6</v>
      </c>
      <c r="D32" s="926">
        <v>0.66</v>
      </c>
      <c r="E32" s="926">
        <v>7552.05</v>
      </c>
      <c r="F32" s="1011">
        <v>12623.37</v>
      </c>
      <c r="G32" s="925"/>
    </row>
    <row r="33" spans="1:7" s="904" customFormat="1" ht="12.75">
      <c r="A33" s="915"/>
      <c r="B33" s="915" t="s">
        <v>789</v>
      </c>
      <c r="C33" s="934">
        <v>0.28</v>
      </c>
      <c r="D33" s="934">
        <v>0.31</v>
      </c>
      <c r="E33" s="926">
        <v>3908.52</v>
      </c>
      <c r="F33" s="910">
        <v>3940.2</v>
      </c>
      <c r="G33" s="915"/>
    </row>
    <row r="34" spans="1:7" s="904" customFormat="1" ht="12.75">
      <c r="A34" s="915"/>
      <c r="B34" s="915" t="s">
        <v>788</v>
      </c>
      <c r="C34" s="934">
        <v>0.07</v>
      </c>
      <c r="D34" s="934">
        <v>0.08</v>
      </c>
      <c r="E34" s="926">
        <v>993.69</v>
      </c>
      <c r="F34" s="910">
        <v>1387.15</v>
      </c>
      <c r="G34" s="915"/>
    </row>
    <row r="35" spans="1:7" s="904" customFormat="1" ht="45">
      <c r="A35" s="915"/>
      <c r="B35" s="916" t="s">
        <v>787</v>
      </c>
      <c r="C35" s="1012">
        <v>0.13</v>
      </c>
      <c r="D35" s="934">
        <v>0.14</v>
      </c>
      <c r="E35" s="926">
        <v>1788.64</v>
      </c>
      <c r="F35" s="910">
        <v>3508.95</v>
      </c>
      <c r="G35" s="915"/>
    </row>
    <row r="36" spans="1:7" s="5" customFormat="1" ht="12.75">
      <c r="A36" s="915"/>
      <c r="B36" s="915" t="s">
        <v>786</v>
      </c>
      <c r="C36" s="934">
        <v>0.12</v>
      </c>
      <c r="D36" s="934">
        <v>0.13</v>
      </c>
      <c r="E36" s="926">
        <v>861.2</v>
      </c>
      <c r="F36" s="910">
        <v>0</v>
      </c>
      <c r="G36" s="915"/>
    </row>
    <row r="37" spans="1:7" s="928" customFormat="1" ht="12.75">
      <c r="A37" s="925">
        <v>7</v>
      </c>
      <c r="B37" s="925" t="s">
        <v>830</v>
      </c>
      <c r="C37" s="1009">
        <v>0.31</v>
      </c>
      <c r="D37" s="1009">
        <v>0.34</v>
      </c>
      <c r="E37" s="926">
        <v>4305.99</v>
      </c>
      <c r="F37" s="926">
        <v>2826.5</v>
      </c>
      <c r="G37" s="925"/>
    </row>
    <row r="38" spans="1:7" s="927" customFormat="1" ht="12.75">
      <c r="A38" s="925">
        <v>8</v>
      </c>
      <c r="B38" s="925" t="s">
        <v>829</v>
      </c>
      <c r="C38" s="1009"/>
      <c r="D38" s="1009"/>
      <c r="E38" s="926"/>
      <c r="F38" s="926">
        <v>960.57</v>
      </c>
      <c r="G38" s="925"/>
    </row>
    <row r="39" spans="1:7" s="805" customFormat="1" ht="12.75">
      <c r="A39" s="925">
        <v>9</v>
      </c>
      <c r="B39" s="925" t="s">
        <v>784</v>
      </c>
      <c r="C39" s="1009">
        <v>2.04</v>
      </c>
      <c r="D39" s="1009">
        <v>2.25</v>
      </c>
      <c r="E39" s="926">
        <v>31533.1</v>
      </c>
      <c r="F39" s="1011">
        <v>5123.02</v>
      </c>
      <c r="G39" s="925"/>
    </row>
    <row r="40" spans="1:7" s="805" customFormat="1" ht="14.25" customHeight="1">
      <c r="A40" s="925">
        <v>10</v>
      </c>
      <c r="B40" s="925" t="s">
        <v>783</v>
      </c>
      <c r="C40" s="1009">
        <v>0.22</v>
      </c>
      <c r="D40" s="1009">
        <v>0.25</v>
      </c>
      <c r="E40" s="926">
        <v>0</v>
      </c>
      <c r="F40" s="1011">
        <v>794.95</v>
      </c>
      <c r="G40" s="925"/>
    </row>
    <row r="41" spans="1:7" ht="15" customHeight="1">
      <c r="A41" s="915">
        <v>11</v>
      </c>
      <c r="B41" s="915" t="s">
        <v>828</v>
      </c>
      <c r="C41" s="808"/>
      <c r="D41" s="808"/>
      <c r="E41" s="808"/>
      <c r="F41" s="1010">
        <v>1910.09</v>
      </c>
      <c r="G41" s="925"/>
    </row>
    <row r="42" spans="1:7" ht="15" customHeight="1">
      <c r="A42" s="915">
        <v>12</v>
      </c>
      <c r="B42" s="915" t="s">
        <v>827</v>
      </c>
      <c r="C42" s="808"/>
      <c r="D42" s="808"/>
      <c r="E42" s="808"/>
      <c r="F42" s="1010">
        <v>55.21</v>
      </c>
      <c r="G42" s="925"/>
    </row>
    <row r="43" spans="1:7" ht="12.75" hidden="1">
      <c r="A43" s="925">
        <v>10</v>
      </c>
      <c r="B43" s="925" t="s">
        <v>826</v>
      </c>
      <c r="C43" s="1009">
        <v>1.19</v>
      </c>
      <c r="D43" s="1009">
        <v>1.29</v>
      </c>
      <c r="E43" s="926">
        <v>16405.78</v>
      </c>
      <c r="F43" s="926"/>
      <c r="G43" s="925"/>
    </row>
    <row r="44" spans="1:7" ht="12.75" hidden="1">
      <c r="A44" s="924"/>
      <c r="B44" s="924"/>
      <c r="C44" s="923">
        <v>9.6</v>
      </c>
      <c r="D44" s="923">
        <v>10.61</v>
      </c>
      <c r="E44" s="922"/>
      <c r="F44" s="921"/>
      <c r="G44" s="920"/>
    </row>
    <row r="45" spans="1:7" ht="12.75" hidden="1">
      <c r="A45" s="1007"/>
      <c r="B45" s="1007" t="s">
        <v>781</v>
      </c>
      <c r="C45" s="1007"/>
      <c r="D45" s="1007"/>
      <c r="E45" s="1007"/>
      <c r="F45" s="1008"/>
      <c r="G45" s="1007"/>
    </row>
    <row r="46" spans="1:7" ht="1.5" customHeight="1" hidden="1">
      <c r="A46" s="905"/>
      <c r="B46" s="909"/>
      <c r="C46" s="909"/>
      <c r="D46" s="909"/>
      <c r="E46" s="909"/>
      <c r="F46" s="910"/>
      <c r="G46" s="909"/>
    </row>
    <row r="47" spans="1:7" ht="12.75" hidden="1">
      <c r="A47" s="905"/>
      <c r="B47" s="908"/>
      <c r="C47" s="1004"/>
      <c r="D47" s="907"/>
      <c r="E47" s="905"/>
      <c r="F47" s="906"/>
      <c r="G47" s="905"/>
    </row>
    <row r="48" spans="1:7" ht="12.75" hidden="1">
      <c r="A48" s="834"/>
      <c r="B48" s="998" t="s">
        <v>780</v>
      </c>
      <c r="C48" s="998"/>
      <c r="D48" s="998"/>
      <c r="E48" s="998"/>
      <c r="F48" s="998"/>
      <c r="G48" s="998"/>
    </row>
    <row r="49" spans="1:7" ht="12.75" hidden="1">
      <c r="A49" s="834"/>
      <c r="B49" s="834"/>
      <c r="C49" s="834"/>
      <c r="D49" s="834"/>
      <c r="E49" s="834"/>
      <c r="F49" s="834"/>
      <c r="G49" s="834"/>
    </row>
    <row r="50" spans="1:7" ht="12.75" hidden="1">
      <c r="A50" s="915"/>
      <c r="B50" s="915"/>
      <c r="C50" s="915"/>
      <c r="D50" s="915"/>
      <c r="E50" s="915"/>
      <c r="F50" s="906"/>
      <c r="G50" s="915"/>
    </row>
    <row r="51" spans="1:7" ht="12.75" hidden="1">
      <c r="A51" s="915"/>
      <c r="B51" s="917"/>
      <c r="C51" s="917"/>
      <c r="D51" s="917"/>
      <c r="E51" s="915"/>
      <c r="F51" s="906"/>
      <c r="G51" s="915"/>
    </row>
    <row r="52" spans="1:7" ht="12.75" hidden="1">
      <c r="A52" s="915"/>
      <c r="B52" s="916"/>
      <c r="C52" s="916"/>
      <c r="D52" s="915"/>
      <c r="E52" s="915"/>
      <c r="F52" s="906"/>
      <c r="G52" s="915"/>
    </row>
    <row r="53" spans="1:7" ht="12.75" hidden="1">
      <c r="A53" s="915"/>
      <c r="B53" s="915"/>
      <c r="C53" s="915"/>
      <c r="D53" s="915"/>
      <c r="E53" s="915"/>
      <c r="F53" s="905"/>
      <c r="G53" s="915"/>
    </row>
    <row r="54" spans="1:7" s="914" customFormat="1" ht="12.75" hidden="1">
      <c r="A54" s="915"/>
      <c r="B54" s="915"/>
      <c r="C54" s="915"/>
      <c r="D54" s="915"/>
      <c r="E54" s="915"/>
      <c r="F54" s="905"/>
      <c r="G54" s="915"/>
    </row>
    <row r="55" spans="1:7" ht="12.75" hidden="1">
      <c r="A55" s="915"/>
      <c r="B55" s="915"/>
      <c r="C55" s="915"/>
      <c r="D55" s="915"/>
      <c r="E55" s="915"/>
      <c r="F55" s="905"/>
      <c r="G55" s="915"/>
    </row>
    <row r="56" spans="1:7" ht="12.75" hidden="1">
      <c r="A56" s="915"/>
      <c r="B56" s="915"/>
      <c r="C56" s="915"/>
      <c r="D56" s="915"/>
      <c r="E56" s="915"/>
      <c r="F56" s="905"/>
      <c r="G56" s="915"/>
    </row>
    <row r="57" spans="1:7" ht="12.75" hidden="1">
      <c r="A57" s="915"/>
      <c r="B57" s="915"/>
      <c r="C57" s="915"/>
      <c r="D57" s="915"/>
      <c r="E57" s="915"/>
      <c r="F57" s="905"/>
      <c r="G57" s="915"/>
    </row>
    <row r="58" spans="1:7" s="914" customFormat="1" ht="12.75" hidden="1">
      <c r="A58" s="915"/>
      <c r="B58" s="915"/>
      <c r="C58" s="915"/>
      <c r="D58" s="915"/>
      <c r="E58" s="915"/>
      <c r="F58" s="906"/>
      <c r="G58" s="915"/>
    </row>
    <row r="59" spans="1:7" ht="12.75" hidden="1">
      <c r="A59" s="808"/>
      <c r="B59" s="808"/>
      <c r="C59" s="808"/>
      <c r="D59" s="808"/>
      <c r="E59" s="808"/>
      <c r="F59" s="912"/>
      <c r="G59" s="808"/>
    </row>
    <row r="60" spans="1:7" ht="12.75" hidden="1">
      <c r="A60" s="808"/>
      <c r="B60" s="808"/>
      <c r="C60" s="808"/>
      <c r="D60" s="808"/>
      <c r="E60" s="808"/>
      <c r="F60" s="912"/>
      <c r="G60" s="808"/>
    </row>
    <row r="61" spans="1:7" ht="12.75" hidden="1">
      <c r="A61" s="808"/>
      <c r="B61" s="808"/>
      <c r="C61" s="808"/>
      <c r="D61" s="808"/>
      <c r="E61" s="808"/>
      <c r="F61" s="912"/>
      <c r="G61" s="808"/>
    </row>
    <row r="62" spans="1:7" ht="12.75" hidden="1">
      <c r="A62" s="911"/>
      <c r="B62" s="911"/>
      <c r="C62" s="911"/>
      <c r="D62" s="911"/>
      <c r="E62" s="911"/>
      <c r="F62" s="913"/>
      <c r="G62" s="911"/>
    </row>
    <row r="63" spans="1:7" ht="12.75" hidden="1">
      <c r="A63" s="808"/>
      <c r="B63" s="808"/>
      <c r="C63" s="808"/>
      <c r="D63" s="808"/>
      <c r="E63" s="808"/>
      <c r="F63" s="912"/>
      <c r="G63" s="808"/>
    </row>
    <row r="64" spans="1:7" ht="12.75" hidden="1">
      <c r="A64" s="808"/>
      <c r="B64" s="808"/>
      <c r="C64" s="808"/>
      <c r="D64" s="808"/>
      <c r="E64" s="808"/>
      <c r="F64" s="912"/>
      <c r="G64" s="808"/>
    </row>
    <row r="65" spans="1:7" ht="12.75" hidden="1">
      <c r="A65" s="808"/>
      <c r="B65" s="808"/>
      <c r="C65" s="808"/>
      <c r="D65" s="808"/>
      <c r="E65" s="808"/>
      <c r="F65" s="912"/>
      <c r="G65" s="808"/>
    </row>
    <row r="66" spans="1:7" ht="12.75">
      <c r="A66" s="915">
        <v>13</v>
      </c>
      <c r="B66" s="915" t="s">
        <v>825</v>
      </c>
      <c r="C66" s="808"/>
      <c r="D66" s="808"/>
      <c r="E66" s="808"/>
      <c r="F66" s="912"/>
      <c r="G66" s="808"/>
    </row>
    <row r="67" spans="1:7" ht="12.75">
      <c r="A67" s="808"/>
      <c r="B67" s="915" t="s">
        <v>824</v>
      </c>
      <c r="C67" s="808"/>
      <c r="D67" s="808"/>
      <c r="E67" s="808"/>
      <c r="F67" s="910">
        <v>26.95</v>
      </c>
      <c r="G67" s="808"/>
    </row>
    <row r="68" spans="1:7" ht="12.75">
      <c r="A68" s="808"/>
      <c r="B68" s="915" t="s">
        <v>823</v>
      </c>
      <c r="C68" s="808"/>
      <c r="D68" s="808"/>
      <c r="E68" s="808"/>
      <c r="F68" s="1005">
        <v>268.4</v>
      </c>
      <c r="G68" s="808"/>
    </row>
    <row r="69" spans="1:7" ht="12.75">
      <c r="A69" s="808"/>
      <c r="B69" s="915"/>
      <c r="C69" s="808"/>
      <c r="D69" s="808"/>
      <c r="E69" s="808"/>
      <c r="F69" s="1005"/>
      <c r="G69" s="808"/>
    </row>
    <row r="70" spans="1:7" ht="12.75">
      <c r="A70" s="808"/>
      <c r="B70" s="924" t="s">
        <v>782</v>
      </c>
      <c r="C70" s="915"/>
      <c r="D70" s="915"/>
      <c r="E70" s="915"/>
      <c r="F70" s="1006">
        <v>133607.54</v>
      </c>
      <c r="G70" s="808"/>
    </row>
    <row r="71" spans="1:7" ht="12.75">
      <c r="A71" s="808"/>
      <c r="B71" s="924" t="s">
        <v>822</v>
      </c>
      <c r="C71" s="915"/>
      <c r="D71" s="915"/>
      <c r="E71" s="915"/>
      <c r="F71" s="1006">
        <v>3315.81</v>
      </c>
      <c r="G71" s="808"/>
    </row>
    <row r="72" spans="1:7" ht="12.75">
      <c r="A72" s="808"/>
      <c r="B72" s="934" t="s">
        <v>821</v>
      </c>
      <c r="C72" s="934"/>
      <c r="D72" s="934"/>
      <c r="E72" s="934"/>
      <c r="F72" s="1005"/>
      <c r="G72" s="915"/>
    </row>
    <row r="73" spans="1:7" ht="12.75">
      <c r="A73" s="905"/>
      <c r="B73" s="909"/>
      <c r="C73" s="909"/>
      <c r="D73" s="909"/>
      <c r="E73" s="909"/>
      <c r="F73" s="910"/>
      <c r="G73" s="915"/>
    </row>
    <row r="74" spans="1:7" ht="12.75">
      <c r="A74" s="905"/>
      <c r="B74" s="908" t="s">
        <v>775</v>
      </c>
      <c r="C74" s="1004"/>
      <c r="D74" s="907"/>
      <c r="E74" s="905"/>
      <c r="F74" s="906"/>
      <c r="G74" s="934"/>
    </row>
    <row r="75" spans="1:7" ht="12.75">
      <c r="A75" s="905"/>
      <c r="B75" s="908"/>
      <c r="C75" s="1004"/>
      <c r="D75" s="907"/>
      <c r="E75" s="905"/>
      <c r="F75" s="906"/>
      <c r="G75" s="915"/>
    </row>
    <row r="76" spans="6:7" ht="12.75">
      <c r="F76" s="1002"/>
      <c r="G76" s="1003"/>
    </row>
    <row r="77" spans="6:8" ht="12.75">
      <c r="F77" s="1002"/>
      <c r="G77" s="1001"/>
      <c r="H77" s="1000"/>
    </row>
  </sheetData>
  <sheetProtection/>
  <mergeCells count="2">
    <mergeCell ref="B48:G48"/>
    <mergeCell ref="B3:G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2014-08-15T06:26:00Z</cp:lastPrinted>
  <dcterms:created xsi:type="dcterms:W3CDTF">2007-07-20T13:26:54Z</dcterms:created>
  <dcterms:modified xsi:type="dcterms:W3CDTF">2016-03-31T12:55:26Z</dcterms:modified>
  <cp:category/>
  <cp:version/>
  <cp:contentType/>
  <cp:contentStatus/>
</cp:coreProperties>
</file>