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285" activeTab="6"/>
  </bookViews>
  <sheets>
    <sheet name="Исход дан" sheetId="1" r:id="rId1"/>
    <sheet name="сан содерж" sheetId="2" r:id="rId2"/>
    <sheet name="спец инв" sheetId="3" r:id="rId3"/>
    <sheet name="профраб" sheetId="4" r:id="rId4"/>
    <sheet name="ВСЕ раб" sheetId="5" r:id="rId5"/>
    <sheet name="Обязат" sheetId="6" r:id="rId6"/>
    <sheet name="отчет за 2015 год" sheetId="7" r:id="rId7"/>
  </sheets>
  <externalReferences>
    <externalReference r:id="rId10"/>
  </externalReferences>
  <definedNames>
    <definedName name="_xlnm.Print_Titles" localSheetId="4">'ВСЕ раб'!$2:$5</definedName>
    <definedName name="_xlnm.Print_Titles" localSheetId="0">'Исход дан'!$3:$4</definedName>
    <definedName name="_xlnm.Print_Titles" localSheetId="5">'Обязат'!$2:$2</definedName>
    <definedName name="_xlnm.Print_Titles" localSheetId="1">'сан содерж'!$1:$6</definedName>
    <definedName name="_xlnm.Print_Titles" localSheetId="2">'спец инв'!$1:$5</definedName>
    <definedName name="_xlnm.Print_Area" localSheetId="5">'Обязат'!$A$1:$H$76</definedName>
    <definedName name="_xlnm.Print_Area" localSheetId="6">'отчет за 2015 год'!$A$1:$G$75</definedName>
    <definedName name="_xlnm.Print_Area" localSheetId="1">'сан содерж'!$A$1:$K$61</definedName>
  </definedNames>
  <calcPr fullCalcOnLoad="1"/>
</workbook>
</file>

<file path=xl/sharedStrings.xml><?xml version="1.0" encoding="utf-8"?>
<sst xmlns="http://schemas.openxmlformats.org/spreadsheetml/2006/main" count="1243" uniqueCount="831">
  <si>
    <t>Показатели</t>
  </si>
  <si>
    <t>Уборка лестничных клеток</t>
  </si>
  <si>
    <t>Норма</t>
  </si>
  <si>
    <t>Итого</t>
  </si>
  <si>
    <t>Основные тарифы</t>
  </si>
  <si>
    <t>Премия</t>
  </si>
  <si>
    <t>Спецодежда</t>
  </si>
  <si>
    <t>Уборка придомовых территорий</t>
  </si>
  <si>
    <t>расходы в месяц</t>
  </si>
  <si>
    <t>расходы в год</t>
  </si>
  <si>
    <t>ИТОГО ФОТ</t>
  </si>
  <si>
    <t>Обслуживание мусоропровода</t>
  </si>
  <si>
    <t xml:space="preserve">ЕСН </t>
  </si>
  <si>
    <t>ЕСН</t>
  </si>
  <si>
    <t>кол-во</t>
  </si>
  <si>
    <t>Сапоги резиновые</t>
  </si>
  <si>
    <t>Перчатки резиновые</t>
  </si>
  <si>
    <t>Перчатки х/б комбиниров</t>
  </si>
  <si>
    <t>Дворник</t>
  </si>
  <si>
    <t>Фартук х/б</t>
  </si>
  <si>
    <t>Рукавицы комбиниров</t>
  </si>
  <si>
    <t>Плащ непромокаемый</t>
  </si>
  <si>
    <t xml:space="preserve">Халат х/б </t>
  </si>
  <si>
    <t>Рабочий по обслужив мусоропровода</t>
  </si>
  <si>
    <t>Фартук прорезин</t>
  </si>
  <si>
    <t>Инвентарь</t>
  </si>
  <si>
    <t>Щетка</t>
  </si>
  <si>
    <t>Ведро</t>
  </si>
  <si>
    <t>Совок</t>
  </si>
  <si>
    <t>Швабра</t>
  </si>
  <si>
    <t>Щетка для мытья окон</t>
  </si>
  <si>
    <t>Метла березовая</t>
  </si>
  <si>
    <t>Метла березовая - зима</t>
  </si>
  <si>
    <t>Лом (ледоруб)</t>
  </si>
  <si>
    <t>Лопата совковая</t>
  </si>
  <si>
    <t>Скребок</t>
  </si>
  <si>
    <t>Тележка</t>
  </si>
  <si>
    <t>Сито строительное</t>
  </si>
  <si>
    <t>Грабли</t>
  </si>
  <si>
    <t>Мешки п/этил 20 л</t>
  </si>
  <si>
    <t>Шланг полив 25 п.м.</t>
  </si>
  <si>
    <t>Метла</t>
  </si>
  <si>
    <t>Костюм х/б (халат)</t>
  </si>
  <si>
    <t>Норма на год исходя из численности</t>
  </si>
  <si>
    <t>Всего зима + лето</t>
  </si>
  <si>
    <t>Материальные расходы на обслуживание мусоропровода</t>
  </si>
  <si>
    <t>Уборка мусороприемных камер</t>
  </si>
  <si>
    <t>Дезинфекция мусоропровода</t>
  </si>
  <si>
    <t>Дезинфекция мусоросборников</t>
  </si>
  <si>
    <t>Моющее средство 1,5кг/10 шт * 12 раз в год</t>
  </si>
  <si>
    <t>Хлорная известь 5,38кг/10 шт * 12 раз в год</t>
  </si>
  <si>
    <t>Мойка сменных  мусоросборников</t>
  </si>
  <si>
    <t>Уборка клапанов мусоропровода</t>
  </si>
  <si>
    <t>Моющее средство 0,2 кг/10 шт * 1 раз в неделю</t>
  </si>
  <si>
    <t>Всего санитарное содержание в год</t>
  </si>
  <si>
    <t>Материальные расходы</t>
  </si>
  <si>
    <t>руб.</t>
  </si>
  <si>
    <t>Тариф на 100 кв.м.(1 чел)</t>
  </si>
  <si>
    <t>Площадь (чел)</t>
  </si>
  <si>
    <t>Санитарное содержание на 1 кв.м. жилой площади</t>
  </si>
  <si>
    <t>Жилая площадь</t>
  </si>
  <si>
    <t>отклонения  гр 6 - гр 12</t>
  </si>
  <si>
    <t>Площадь крыши</t>
  </si>
  <si>
    <t>Площадь подвала</t>
  </si>
  <si>
    <t>Лестничные клетки</t>
  </si>
  <si>
    <t xml:space="preserve">Освещение мест общего пользования </t>
  </si>
  <si>
    <t>2.1.</t>
  </si>
  <si>
    <t>2.2.</t>
  </si>
  <si>
    <t>2.3.</t>
  </si>
  <si>
    <t>3.1.</t>
  </si>
  <si>
    <t>3.2.</t>
  </si>
  <si>
    <t>3.3.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</si>
  <si>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</si>
  <si>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</si>
  <si>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</si>
  <si>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</si>
  <si>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</si>
  <si>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</si>
  <si>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</si>
  <si>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</si>
  <si>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</si>
  <si>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</si>
  <si>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</si>
  <si>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Дератизация подвалов</t>
  </si>
  <si>
    <t>руб/кв.м.</t>
  </si>
  <si>
    <t xml:space="preserve">Санитарное содержание </t>
  </si>
  <si>
    <t>Примечания</t>
  </si>
  <si>
    <t>1</t>
  </si>
  <si>
    <t>3</t>
  </si>
  <si>
    <t>19</t>
  </si>
  <si>
    <t>20</t>
  </si>
  <si>
    <t>21</t>
  </si>
  <si>
    <t>22</t>
  </si>
  <si>
    <t>23</t>
  </si>
  <si>
    <t>24</t>
  </si>
  <si>
    <t>25</t>
  </si>
  <si>
    <t>26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</si>
  <si>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</si>
  <si>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</si>
  <si>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</si>
  <si>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</si>
  <si>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</si>
  <si>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</si>
  <si>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</si>
  <si>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</si>
  <si>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</si>
  <si>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</si>
  <si>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№№ п/п</t>
  </si>
  <si>
    <t>Наименование работ</t>
  </si>
  <si>
    <t>Ед. изм</t>
  </si>
  <si>
    <t>Объем работ</t>
  </si>
  <si>
    <t>Очистка техэтажей от мусора со сбором его в тару и отноской в установленное место</t>
  </si>
  <si>
    <t>Примечание</t>
  </si>
  <si>
    <t>периодичность в год</t>
  </si>
  <si>
    <t>Устранение засоров внутренних канализационных трубопроводов</t>
  </si>
  <si>
    <t>1 пролет между ревизиями - 15 м</t>
  </si>
  <si>
    <t>1 м тр</t>
  </si>
  <si>
    <t>Очистка стальной щеткой старых чугунных труб и фасонных частей от нароста и грязи д 50 мм (стояки)</t>
  </si>
  <si>
    <t xml:space="preserve"> 1 м тр</t>
  </si>
  <si>
    <t>Ремонт электрощитов</t>
  </si>
  <si>
    <t>1 щит</t>
  </si>
  <si>
    <t>1 задвижка</t>
  </si>
  <si>
    <t>Снятие, прочистка и установка параллельной задвижки Д 100 мм (ревизия задвижек)</t>
  </si>
  <si>
    <t>1 кран</t>
  </si>
  <si>
    <t>Промывка трубопроводов системы Ц.О.</t>
  </si>
  <si>
    <t>100 куб.м. здания</t>
  </si>
  <si>
    <t>Ликвидация воздушных пробок в системе отопления в стояке</t>
  </si>
  <si>
    <t>1 стояк</t>
  </si>
  <si>
    <t>Испытание трубопроводов системы центрального отопления</t>
  </si>
  <si>
    <t>100 м трубопровода</t>
  </si>
  <si>
    <t>Центральное отопление</t>
  </si>
  <si>
    <t>1000 кв.м. осматрив помещ</t>
  </si>
  <si>
    <t>1000 кв.м. жилых помещ</t>
  </si>
  <si>
    <t>Осмотр линий электрических сетей, арматуры, электрооборудования на лестничных площадках</t>
  </si>
  <si>
    <t>100 лестн площадок 1 раз в квартал</t>
  </si>
  <si>
    <t>Осмотр линий электрических сетей, арматуры, электрооборудования силовых установок</t>
  </si>
  <si>
    <t>Осмотр линий электрических сетей, арматуры, электрооборудования в подвальных помещениях</t>
  </si>
  <si>
    <t>1000 кв.м. осматрив помещ 1 раз в квартал</t>
  </si>
  <si>
    <t>ИТОГО профосмотры</t>
  </si>
  <si>
    <t>ВСЕГО</t>
  </si>
  <si>
    <t>Мешковина (Тряпка)</t>
  </si>
  <si>
    <t>Моющее средство на уборочную площадь л/кл</t>
  </si>
  <si>
    <t>140р.д + 3 пр. д</t>
  </si>
  <si>
    <t>Моющее средство 1,5кг/100м ствола * 12 раз в год</t>
  </si>
  <si>
    <t>Хлорная известь 5,38кг/100м ствола * 12 раз в год</t>
  </si>
  <si>
    <t xml:space="preserve">Моющее средство 1,5кг/100 шт * </t>
  </si>
  <si>
    <t xml:space="preserve">Очистка стальной щеткой старых чугунных труб и фасонных частей от нароста и грязи д 50 мм (дренаж) </t>
  </si>
  <si>
    <t>Ремонт ВРУ - входн распред устр (ревизия)</t>
  </si>
  <si>
    <t>таб № 1</t>
  </si>
  <si>
    <t>ИТОГО санитарное содержание</t>
  </si>
  <si>
    <t>Площадь/кол-во</t>
  </si>
  <si>
    <t>Ед. измерения</t>
  </si>
  <si>
    <t>Емкость для смеси песка</t>
  </si>
  <si>
    <t xml:space="preserve">Моющее средство 20г/1кв.м* ч/д -183 раза </t>
  </si>
  <si>
    <t>объемы работ предусм максим</t>
  </si>
  <si>
    <t>14</t>
  </si>
  <si>
    <t>16</t>
  </si>
  <si>
    <t>17</t>
  </si>
  <si>
    <t>18</t>
  </si>
  <si>
    <t>27</t>
  </si>
  <si>
    <t>28</t>
  </si>
  <si>
    <t>31</t>
  </si>
  <si>
    <t>Тариф на 100 кв.м.</t>
  </si>
  <si>
    <t>нормы уборки и расчет тарифа, действующие в 2008 году по Службе Заказчика</t>
  </si>
  <si>
    <t>Период</t>
  </si>
  <si>
    <t xml:space="preserve">1 кв.м </t>
  </si>
  <si>
    <t>Очистка кровли от мусора и грязи</t>
  </si>
  <si>
    <t>Удаление с крыш снега и наледи</t>
  </si>
  <si>
    <t>1 квартира</t>
  </si>
  <si>
    <t>ед</t>
  </si>
  <si>
    <t>4 раза в год</t>
  </si>
  <si>
    <t xml:space="preserve">Проверка дымоходов </t>
  </si>
  <si>
    <t>Проверка вентканалов</t>
  </si>
  <si>
    <t>Прочистка дымоходов</t>
  </si>
  <si>
    <t>Прочистка вентканалов</t>
  </si>
  <si>
    <t>Вентканалы и дымоходы</t>
  </si>
  <si>
    <t xml:space="preserve">Установленная цена на  обслуживание аналогичных домов </t>
  </si>
  <si>
    <t>Разница цен на содержание жилых помещений  для граждан 2008 год</t>
  </si>
  <si>
    <t>Итого цена содержания ж/помещ руб/кв.м.</t>
  </si>
  <si>
    <t xml:space="preserve">Уборка лестничных клеток </t>
  </si>
  <si>
    <t xml:space="preserve">Содержание мусоропровода </t>
  </si>
  <si>
    <t xml:space="preserve">Уборка придомовой территории  </t>
  </si>
  <si>
    <t>Профработы</t>
  </si>
  <si>
    <t>Профработы по 139 приказу</t>
  </si>
  <si>
    <t>Профосмотры по 139 приказу</t>
  </si>
  <si>
    <t>Количество лиц счетов</t>
  </si>
  <si>
    <t>Количество проживающих</t>
  </si>
  <si>
    <t>Количество вентканалов</t>
  </si>
  <si>
    <t>Количество дымоходов</t>
  </si>
  <si>
    <t xml:space="preserve">Всего стоимость для расчета цены </t>
  </si>
  <si>
    <t>Площадь ж/помещ кв.м.</t>
  </si>
  <si>
    <t>2</t>
  </si>
  <si>
    <t>Освещение мест общего пользования</t>
  </si>
  <si>
    <t>Дератизация</t>
  </si>
  <si>
    <t>Итого лето</t>
  </si>
  <si>
    <t>Итого зима</t>
  </si>
  <si>
    <t>%</t>
  </si>
  <si>
    <t>№</t>
  </si>
  <si>
    <t>Виды работ и услуг</t>
  </si>
  <si>
    <t>Периодичность</t>
  </si>
  <si>
    <t>1.</t>
  </si>
  <si>
    <t>Работы по уборке лестничных клеток</t>
  </si>
  <si>
    <t>1.1.</t>
  </si>
  <si>
    <t>5 раз в неделю</t>
  </si>
  <si>
    <t>1 раз в месяц</t>
  </si>
  <si>
    <t>Обметание пыли с потолков</t>
  </si>
  <si>
    <t>2 раза в год</t>
  </si>
  <si>
    <t>Влажная протирка стен, дверей, плафонов. Мытьё окон.</t>
  </si>
  <si>
    <t>Влажная протирка подоконников, оконных решеток, перил, чердачных лестниц, шкафов для электросчетчиков и слаботочных устройств, почтовых ящиков</t>
  </si>
  <si>
    <t>Очистка металлических решеток и приямков. Уборка площадки перед входом в подъезд.</t>
  </si>
  <si>
    <t>1 раз в неделю</t>
  </si>
  <si>
    <t>Работы по уборке придомовой территории</t>
  </si>
  <si>
    <t>Холодный период</t>
  </si>
  <si>
    <t>2.1.1.</t>
  </si>
  <si>
    <t>а) Подметание свежевыпавшего снега толщиной слоя до 2 см. на территориях 1, 2 класса;</t>
  </si>
  <si>
    <t>1 раз в сутки в дни снегопада</t>
  </si>
  <si>
    <t>2.1.2.</t>
  </si>
  <si>
    <t>а) Сдвигание свежевыпавшего снега толщиной слоя свыше 2 см. на территориях 1 класса;</t>
  </si>
  <si>
    <t>Через 3 часа во время снегопада</t>
  </si>
  <si>
    <t>2.1.3.</t>
  </si>
  <si>
    <t>а) Подсыпка территории песком или смесью песка с хлоридами на территориях 1 класса;</t>
  </si>
  <si>
    <t>1 раз в сутки во время гололеда</t>
  </si>
  <si>
    <t>2.1.4.</t>
  </si>
  <si>
    <t>а) Очистка территорий от снега наносного происхождения (или подметание территорий, свободных от снежного покрова) на территориях 1 класса;</t>
  </si>
  <si>
    <t>2.1.5.</t>
  </si>
  <si>
    <t>а) Очистка территорий от наледи и льда на территориях 1 класса;</t>
  </si>
  <si>
    <t>1 раз в 3 суток во время гололеда</t>
  </si>
  <si>
    <t>2.1.6.</t>
  </si>
  <si>
    <t>а) Очистка урн от мусора на территориях 1 класса</t>
  </si>
  <si>
    <t>1 раз в 3 суток</t>
  </si>
  <si>
    <t>1 раз в 2 суток</t>
  </si>
  <si>
    <t>Уборка контейнерных площадок</t>
  </si>
  <si>
    <t>Теплый период</t>
  </si>
  <si>
    <t>а) Подметание территорий в дни без осадков. На территориях 1 класса;</t>
  </si>
  <si>
    <t>2.2.2.</t>
  </si>
  <si>
    <t>а) Подметание территорий в дни с осадками до 2 см. на территориях 1 класса;</t>
  </si>
  <si>
    <t>1 раз в 2 суток (70% территорий)</t>
  </si>
  <si>
    <t>2.2.3.</t>
  </si>
  <si>
    <t>а) Частичная уборка территорий в дни с осадками свыше 2 см. на территориях 1 класса;</t>
  </si>
  <si>
    <t>1 раз в 2 суток (50% территорий)</t>
  </si>
  <si>
    <t>2.2.8.</t>
  </si>
  <si>
    <t>По установленному графику</t>
  </si>
  <si>
    <t>Проверка и прочистка дымоходов и вентканалов</t>
  </si>
  <si>
    <t>1 раз в год</t>
  </si>
  <si>
    <t>Постоянно</t>
  </si>
  <si>
    <t>12 раз в год</t>
  </si>
  <si>
    <t>Прочистка лежаков и стояков канализации</t>
  </si>
  <si>
    <t>Ремонт и регулировка задвижек на системах отопления</t>
  </si>
  <si>
    <t>Итого:</t>
  </si>
  <si>
    <t>Осмотр системы центрального отопления. Внутриквартирные устройства</t>
  </si>
  <si>
    <t>Затраты  в год (руб.)</t>
  </si>
  <si>
    <t>Общие и частичные осмотры системы цетрального отопления в технических помещениях в отопительный период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</si>
  <si>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</si>
  <si>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Общие и частичные осмотры линий электрических сетей, арматуры, электрооборудования на лестничных площадках</t>
  </si>
  <si>
    <t>Общие и частичные осмотры линий электрических сетей, арматуры, электрооборудования в подвальных помещениях</t>
  </si>
  <si>
    <t>Общие и частичные осмотры и обследования, всего</t>
  </si>
  <si>
    <t>Опрессовка и промывка трубопроводов системы  центрального отопления</t>
  </si>
  <si>
    <t>Испытание трубопроводов системы центрального отопления (Наладка системы отопления)</t>
  </si>
  <si>
    <t>Ремонт ВРУ</t>
  </si>
  <si>
    <t>Ремонт и регулировка вентилей, кранов на системах отопления, водоснабжения в местах общего пользования</t>
  </si>
  <si>
    <t>Ликвидация воздушных пробок в системе центрального отопления (наладка системы - стояки)</t>
  </si>
  <si>
    <t>По мере необходимости</t>
  </si>
  <si>
    <t>Площадь, кв.м.</t>
  </si>
  <si>
    <t>1 раз в двое суток в дни снегопада</t>
  </si>
  <si>
    <t xml:space="preserve">Мытье лестничных площадок и маршей </t>
  </si>
  <si>
    <t>Количество квартир</t>
  </si>
  <si>
    <t>Количество подъездов</t>
  </si>
  <si>
    <t>Количество этажей</t>
  </si>
  <si>
    <t>Затраты руб/м2</t>
  </si>
  <si>
    <t>Площадь 1 этажа</t>
  </si>
  <si>
    <t xml:space="preserve">Площадь чердака </t>
  </si>
  <si>
    <t>факт период работы в год (мес, раз)</t>
  </si>
  <si>
    <t>период мес (ед. изм)</t>
  </si>
  <si>
    <t>1,5 кг /100 шт х 183 дн х шт</t>
  </si>
  <si>
    <t>1,5 кг /100 м х 12 раз  = кол-во</t>
  </si>
  <si>
    <t>5,38 кг /100 м х 12 раз = кол-во</t>
  </si>
  <si>
    <t>5,38 кг /10шт х 12 раз = кол-во</t>
  </si>
  <si>
    <t>Квт</t>
  </si>
  <si>
    <t>м2</t>
  </si>
  <si>
    <t>расценки, число</t>
  </si>
  <si>
    <t>число</t>
  </si>
  <si>
    <t>Исх данные</t>
  </si>
  <si>
    <t>гр. 4 число</t>
  </si>
  <si>
    <t>Производственная себестоимость</t>
  </si>
  <si>
    <t>таб исх дан</t>
  </si>
  <si>
    <t>исх дан</t>
  </si>
  <si>
    <t>ИТОГО проверка и прочистка вентканалов</t>
  </si>
  <si>
    <t>гр. 5 х гр. 6 х гр. 7</t>
  </si>
  <si>
    <t xml:space="preserve">Производств стоимость (или стоимость приобрет услуг)  в год, руб. без НДС      </t>
  </si>
  <si>
    <t>квт</t>
  </si>
  <si>
    <t>чел</t>
  </si>
  <si>
    <t>сумма на год руб/раб (ед )</t>
  </si>
  <si>
    <t>стоимость за ед.</t>
  </si>
  <si>
    <t>Сумма на год исходя из численности, руб. без НДС</t>
  </si>
  <si>
    <t>Моющее средство</t>
  </si>
  <si>
    <t>чел.</t>
  </si>
  <si>
    <t xml:space="preserve">Инвентарь </t>
  </si>
  <si>
    <t>Численность</t>
  </si>
  <si>
    <t>Х</t>
  </si>
  <si>
    <t>руб./мес</t>
  </si>
  <si>
    <t xml:space="preserve">руб./м2 </t>
  </si>
  <si>
    <t>руб/мес</t>
  </si>
  <si>
    <t>Спецодежда (лето-зима)</t>
  </si>
  <si>
    <t>Инвентарь  лето</t>
  </si>
  <si>
    <t>Инвентарь  зима</t>
  </si>
  <si>
    <t>Песок  (зима)</t>
  </si>
  <si>
    <t>1,5 кг /10 шт х 12 раз  = кол-во</t>
  </si>
  <si>
    <t>руб/раб год</t>
  </si>
  <si>
    <t>Норма обслужив-я</t>
  </si>
  <si>
    <t>исход дан</t>
  </si>
  <si>
    <t>Электроэнергия по светильникам (40 вт х кол-во ламп х 16 час. Х 365 дн/1000 = квт)</t>
  </si>
  <si>
    <t>Основные тарифы, руб. (без НДС)</t>
  </si>
  <si>
    <t xml:space="preserve">Осмотр систем  гор/водоснабжения  в  чердачных помещениях </t>
  </si>
  <si>
    <t>ИТОГО прочее сан и техобслуживание</t>
  </si>
  <si>
    <t>29</t>
  </si>
  <si>
    <t>30</t>
  </si>
  <si>
    <t>40</t>
  </si>
  <si>
    <t>Осмотр системы центрального отопления. Устройства в подвальных помещениях (7мес.отопит период)</t>
  </si>
  <si>
    <t>Осмотр системы центрального отопления. Устройства в подвальных помещениях (5  летний период)</t>
  </si>
  <si>
    <t xml:space="preserve">Осмотр систем холодного и гор/водоснабжения и  водоотведения  в подвальных  помещениях </t>
  </si>
  <si>
    <t>7 раз в год</t>
  </si>
  <si>
    <t>Стояки системы отопления</t>
  </si>
  <si>
    <t>шт.</t>
  </si>
  <si>
    <t>м</t>
  </si>
  <si>
    <t>Трубы чугунные Д 50 (75, 100) (для очистки) - стояки</t>
  </si>
  <si>
    <t>Трубы чугунные Д 50 (75, 100) (для очистки) - дренаж</t>
  </si>
  <si>
    <t>Трубопроводы - Ливнестоки</t>
  </si>
  <si>
    <t>Краны и вентили  общего пользования</t>
  </si>
  <si>
    <t>ед.</t>
  </si>
  <si>
    <t>Трубопроводы системы центр/отопления (испытание)</t>
  </si>
  <si>
    <t>Внутренние канализационные трубопроводы - кол-во пролетов (1 пролет - 15 м)</t>
  </si>
  <si>
    <t>Задвижки</t>
  </si>
  <si>
    <t>Электрощитки</t>
  </si>
  <si>
    <t xml:space="preserve">ВРУ </t>
  </si>
  <si>
    <t>Мусоропровод</t>
  </si>
  <si>
    <t>Площадь мусороприемных камер</t>
  </si>
  <si>
    <t>Клапаны мусоропровода</t>
  </si>
  <si>
    <t>Ствол мусоропровода</t>
  </si>
  <si>
    <t>Мусоросборники</t>
  </si>
  <si>
    <t>Контейнер</t>
  </si>
  <si>
    <t>м/п</t>
  </si>
  <si>
    <t>50</t>
  </si>
  <si>
    <t>51</t>
  </si>
  <si>
    <t>Общие и частичные осмотры общедомовой системы хол и гор/водоснабжения,  водоотведения в технических помещениях</t>
  </si>
  <si>
    <t>I.  Содержание помещений общего пользования</t>
  </si>
  <si>
    <t>III.  Подготовка многоквартирного дома к сезонной эксплуатации</t>
  </si>
  <si>
    <t>IV.  Проведение технических осмотров и мелкий ремонт</t>
  </si>
  <si>
    <t>V.  Прочее</t>
  </si>
  <si>
    <t>4.5.1.</t>
  </si>
  <si>
    <t>Техническое обслуживание</t>
  </si>
  <si>
    <t>1.2.</t>
  </si>
  <si>
    <t>1.3.</t>
  </si>
  <si>
    <t>1.4.</t>
  </si>
  <si>
    <t>1.5.</t>
  </si>
  <si>
    <t>1.6.</t>
  </si>
  <si>
    <t>2.</t>
  </si>
  <si>
    <t>3.4.</t>
  </si>
  <si>
    <t>3.5.</t>
  </si>
  <si>
    <t>3.6.</t>
  </si>
  <si>
    <t>4.1.</t>
  </si>
  <si>
    <t>4.2.</t>
  </si>
  <si>
    <t>4.3.</t>
  </si>
  <si>
    <t>4.5.</t>
  </si>
  <si>
    <t>4.5.2.</t>
  </si>
  <si>
    <t>4.5.3.</t>
  </si>
  <si>
    <t>4.5.4.</t>
  </si>
  <si>
    <t>4.5.5.</t>
  </si>
  <si>
    <t>4.6.</t>
  </si>
  <si>
    <t>5.1.</t>
  </si>
  <si>
    <t xml:space="preserve">площадь жилых помещений </t>
  </si>
  <si>
    <t>площадь нежилых помещений</t>
  </si>
  <si>
    <t xml:space="preserve">Непредвиденные работы по текущему ремонту общего имущества жилого дома </t>
  </si>
  <si>
    <t>4.6.1</t>
  </si>
  <si>
    <t>Костюм х/б</t>
  </si>
  <si>
    <t>руб, с НДС</t>
  </si>
  <si>
    <t>Мыло хозяйственное</t>
  </si>
  <si>
    <t>Эл/лампочки</t>
  </si>
  <si>
    <t>1 шт на 1 раб</t>
  </si>
  <si>
    <t>Лампа над подъездом</t>
  </si>
  <si>
    <t>Коэффициент невыходов = 1,12</t>
  </si>
  <si>
    <t>Коэффициент невыходов =1,12</t>
  </si>
  <si>
    <t>Осмотр линий электрических сетей, арматуры, электрооборудования в жилых помещениях</t>
  </si>
  <si>
    <t>Прочие материальные затраты на санитарное содержание</t>
  </si>
  <si>
    <t>5.4.</t>
  </si>
  <si>
    <t>Коэф невыходов (на отпуск, б/л, прочие)</t>
  </si>
  <si>
    <t>ИТОГО производственная себестоимость содержания л/клеток</t>
  </si>
  <si>
    <r>
      <t xml:space="preserve">Заработная плата </t>
    </r>
    <r>
      <rPr>
        <sz val="8"/>
        <rFont val="Arial Cyr"/>
        <family val="0"/>
      </rPr>
      <t>(ставка рабочего 1 разряда * 1,25 * тарифный коэффициент)</t>
    </r>
  </si>
  <si>
    <t>Итого производств себестоимость содержания  мусоропровода</t>
  </si>
  <si>
    <t>Итого прочие затраты по санитарному содержанию</t>
  </si>
  <si>
    <t xml:space="preserve">ИТОГО производств себестоимость содержания дворовой территории </t>
  </si>
  <si>
    <t>Численность, ед с ручной загрузкой (числ прожив / норматив)</t>
  </si>
  <si>
    <t>ВСЕГО производственная себестоимость  санитарного содержания общего имущества</t>
  </si>
  <si>
    <t>норма на год,       (кол-во/     1 ед.)</t>
  </si>
  <si>
    <t>Веник обыкновенный</t>
  </si>
  <si>
    <t>ИТОГО материальные расходы мус/проводов</t>
  </si>
  <si>
    <t>3шт*кол-во этажей*кол-во подъездов</t>
  </si>
  <si>
    <t>1 шт.* кол-во подъездов</t>
  </si>
  <si>
    <t>40вт*кол-во ламп.*16час*365/ 1000=квт в год</t>
  </si>
  <si>
    <t>1 м2</t>
  </si>
  <si>
    <t xml:space="preserve">Услуги ООО "РРКЦ" </t>
  </si>
  <si>
    <t xml:space="preserve">Прочистка ливнестоков </t>
  </si>
  <si>
    <t>Вывоз КГМ</t>
  </si>
  <si>
    <t>гр4/гр3 х    гр 5</t>
  </si>
  <si>
    <t>гр. 6 х            гр. 7</t>
  </si>
  <si>
    <t>кол-во            гр. 6 х гр.9</t>
  </si>
  <si>
    <t xml:space="preserve"> гр. 8 х гр. 9</t>
  </si>
  <si>
    <t>0,02 кг х 183 дней  х шт</t>
  </si>
  <si>
    <t xml:space="preserve"> гр. 6 / гр 5 х гр. 7 х гр. 8</t>
  </si>
  <si>
    <t>Общеэксплуатационные расходы</t>
  </si>
  <si>
    <t>Внеэксплуатационные расходы</t>
  </si>
  <si>
    <t xml:space="preserve">ИТОГО профработы, профосмотры, доп. обслуж. </t>
  </si>
  <si>
    <t>руб/ год</t>
  </si>
  <si>
    <t>0,2кг/100м2 х м2  х 24 раз в год</t>
  </si>
  <si>
    <t>Места общего пользования (без лестничных клеток)</t>
  </si>
  <si>
    <t>Общая площадь, всего, в т. ч ( стр. 6 + стр. 7 + стр. 8)</t>
  </si>
  <si>
    <t>Общая  площадь   жилых и нежилых помещений</t>
  </si>
  <si>
    <t>Газон</t>
  </si>
  <si>
    <t>Асфальт 1 класса</t>
  </si>
  <si>
    <t>Асфальт 2 класса</t>
  </si>
  <si>
    <t>Асфальт 3 класса</t>
  </si>
  <si>
    <t>Грунт 1 класса</t>
  </si>
  <si>
    <t>Грунт 2 класса</t>
  </si>
  <si>
    <t>Грунт 3 класса</t>
  </si>
  <si>
    <t>Электроэнергия на эл/двигатель лифта по мощности  (3,6 квт х кол-во  х 6 час. Х 365 дн = квт)</t>
  </si>
  <si>
    <t>асфальт 1 класс</t>
  </si>
  <si>
    <t>асфальт 2 класс</t>
  </si>
  <si>
    <t>асфальт 3 класс</t>
  </si>
  <si>
    <t>грунт 1 класс</t>
  </si>
  <si>
    <t>грунт 2 класс</t>
  </si>
  <si>
    <t>грунт 3 класс</t>
  </si>
  <si>
    <t>газон</t>
  </si>
  <si>
    <t>ИТОГО численность уборщиц</t>
  </si>
  <si>
    <t>ИТОГО численность дворников</t>
  </si>
  <si>
    <t>Расчет численности</t>
  </si>
  <si>
    <t xml:space="preserve">Всего численность </t>
  </si>
  <si>
    <t xml:space="preserve">  </t>
  </si>
  <si>
    <r>
      <t xml:space="preserve">Расчет численности </t>
    </r>
    <r>
      <rPr>
        <sz val="9"/>
        <rFont val="Arial Cyr"/>
        <family val="0"/>
      </rPr>
      <t>(прик. 139, таб.17)</t>
    </r>
  </si>
  <si>
    <t>ИТОГО численность мусоропроводчиков</t>
  </si>
  <si>
    <t>руб./год</t>
  </si>
  <si>
    <t>нормы уборки, спецодежда, инвентарь по 139, 191 приказу</t>
  </si>
  <si>
    <t>таблица № 1</t>
  </si>
  <si>
    <t>таблица № 2</t>
  </si>
  <si>
    <t xml:space="preserve">Движок </t>
  </si>
  <si>
    <t>Дворник - зима (5,5 мес)</t>
  </si>
  <si>
    <t>Дворник - лето (6,5 мес)</t>
  </si>
  <si>
    <t>Песок для посыпки</t>
  </si>
  <si>
    <t>Осмотр водопровода, канализации и горячего водоснабжения в квартирах</t>
  </si>
  <si>
    <t>Таблица № 3</t>
  </si>
  <si>
    <t>Обоснование</t>
  </si>
  <si>
    <t>Профосмотры</t>
  </si>
  <si>
    <t>Пр. 139 п.2.2.4     (т 4 п.66)</t>
  </si>
  <si>
    <t>Пр. 139 п.2.2.4      (т 4 п.66)</t>
  </si>
  <si>
    <t>Пр. 139 п.2.2.4      (т 4 п.67)</t>
  </si>
  <si>
    <t>Пр. 139 п.2.2.1.1.    (т 1 п.9)</t>
  </si>
  <si>
    <t>Пр. 139 п.2.2.1.2    (т 2 п.14)</t>
  </si>
  <si>
    <t>Пр. 139 п.2.2.1.2     (т 2 п.14)</t>
  </si>
  <si>
    <t>Применительно Пр. 139 п.2.2.1.2        (т 2 п.14)</t>
  </si>
  <si>
    <t xml:space="preserve">Пр. 139 п.2.2.1.1.  (т 1 п. 3) </t>
  </si>
  <si>
    <t>Пр. 139 п.2.2.2.1.    (т 4 п.36)</t>
  </si>
  <si>
    <t>Пр. 139 п.2.2.2.1.   (т 4 п.37-39)</t>
  </si>
  <si>
    <t>Пр. 139 п.2.2.2.1     (т 4 п.44)</t>
  </si>
  <si>
    <t>Пр. 139 п.2.2.2.2     (т 5 п.32)</t>
  </si>
  <si>
    <t>Пр. 139 п.2.2.2.3.    (т 6 п.12)</t>
  </si>
  <si>
    <t>Пр. 139 п.2.2.1.1.     (т 1 п. 14)</t>
  </si>
  <si>
    <t>Пр. 139 п.2.2.1.1.      (т 1 п. 15)</t>
  </si>
  <si>
    <t>Пр. 139 п.2.2.1.2.     (т 2 п. 23)</t>
  </si>
  <si>
    <t>Применительно  Пр. 139 п.2.2.1.1.     (т 1 п. 15)</t>
  </si>
  <si>
    <t xml:space="preserve">  Пр. 139 п. 2.2.1.3.  (т 3 п. 7)</t>
  </si>
  <si>
    <t xml:space="preserve">  Пр. 139 п. 2.2.1.3.  (т 3 п. 8)</t>
  </si>
  <si>
    <t>ИТОГО  профработы</t>
  </si>
  <si>
    <t>по договору</t>
  </si>
  <si>
    <t>не более 13% от общих затрат по УК или ТСЖ</t>
  </si>
  <si>
    <t>сумма налогов</t>
  </si>
  <si>
    <t xml:space="preserve">Аварийное обслуживание - МУП ГАС </t>
  </si>
  <si>
    <t>Техобслуживание вводных и внутренних газопроводов</t>
  </si>
  <si>
    <t>Рентабельность</t>
  </si>
  <si>
    <t>таблица № 4</t>
  </si>
  <si>
    <t>Вывоз крупногабаритного мусора</t>
  </si>
  <si>
    <t>Аварийное обслуживание</t>
  </si>
  <si>
    <t>Прочистка ливнестоков</t>
  </si>
  <si>
    <t>Ревизия вентилей в местах общего пользования</t>
  </si>
  <si>
    <t>II.  Уборка придомовой территории</t>
  </si>
  <si>
    <t>Услуги ООО "РРКЦ"</t>
  </si>
  <si>
    <t>Стоимость на 1 кв. м. общей площади (рублей в месяц )</t>
  </si>
  <si>
    <t>Годовая плата (рублей)</t>
  </si>
  <si>
    <t>Площадь/ кол-во</t>
  </si>
  <si>
    <t>Площадь/      кол-во</t>
  </si>
  <si>
    <t>Затраты на содержание общедомовых приборов учета</t>
  </si>
  <si>
    <t>Затраты на 1 прибор * кол-во приборов</t>
  </si>
  <si>
    <t xml:space="preserve"> руб/ кв.м.в м-ц</t>
  </si>
  <si>
    <t>5.2</t>
  </si>
  <si>
    <t>5.3.</t>
  </si>
  <si>
    <t>Содержание общедомовых приборов учета</t>
  </si>
  <si>
    <t>числен/ площадь</t>
  </si>
  <si>
    <t>0,2кг/10*52 недели * кол-во клапанов</t>
  </si>
  <si>
    <t>Норма/ периодичность</t>
  </si>
  <si>
    <t>Объем дома</t>
  </si>
  <si>
    <t>м3</t>
  </si>
  <si>
    <t>43</t>
  </si>
  <si>
    <t>Примечание: Гр.8 рассчитывается: з/п рабочего со всеми надбавками / кол-во часов (165,2) * норму времени (челчас) по приказу  139 * % страховых взносов</t>
  </si>
  <si>
    <t>Применительно  Пр. 139 п. 2.2.1.3.  (т 3 п. 6)</t>
  </si>
  <si>
    <t>2.2.1.</t>
  </si>
  <si>
    <t>2.4.</t>
  </si>
  <si>
    <t>3.7.</t>
  </si>
  <si>
    <t>4.4.</t>
  </si>
  <si>
    <t>4.6.2.</t>
  </si>
  <si>
    <t>4.6.3.</t>
  </si>
  <si>
    <t>4.6.4.</t>
  </si>
  <si>
    <t>4.6.5.</t>
  </si>
  <si>
    <t>4.6.6.</t>
  </si>
  <si>
    <t>4.6.7.</t>
  </si>
  <si>
    <t xml:space="preserve">2 м3/1000  м2 территории для посыпки </t>
  </si>
  <si>
    <t>Лопата штыковая с чер.</t>
  </si>
  <si>
    <t>Лопата совковая с чер.</t>
  </si>
  <si>
    <t>электромотер</t>
  </si>
  <si>
    <t>Сод. и ремонт автотрансп.</t>
  </si>
  <si>
    <t>прочие затраты по санитарному состоянию</t>
  </si>
  <si>
    <t>5и3 раз.</t>
  </si>
  <si>
    <t>4и3 раз.</t>
  </si>
  <si>
    <t>мат.в расц.,3и4 раз.</t>
  </si>
  <si>
    <t>матер. Рез. прокладка</t>
  </si>
  <si>
    <t>4раз.4,0часа</t>
  </si>
  <si>
    <t>1,317-сан.</t>
  </si>
  <si>
    <t>12.</t>
  </si>
  <si>
    <t>11.</t>
  </si>
  <si>
    <t>Рем. работы всего:</t>
  </si>
  <si>
    <t>1м тр.</t>
  </si>
  <si>
    <t>4 раза  в год</t>
  </si>
  <si>
    <t>1 зад.</t>
  </si>
  <si>
    <t>Смена вентиля</t>
  </si>
  <si>
    <t>1 вент.</t>
  </si>
  <si>
    <t xml:space="preserve">Смена отдельных участков трубопровода из стальных водогазопроводных труб на сварке д-50 мм </t>
  </si>
  <si>
    <t>7703,40+8381,70=16085,1</t>
  </si>
  <si>
    <t>8817,80+8381,70=17199,5</t>
  </si>
  <si>
    <r>
      <t>Окраска отдельных участков, д-40мм, 1 п.м=0,21м</t>
    </r>
    <r>
      <rPr>
        <sz val="10"/>
        <rFont val="Arial"/>
        <family val="2"/>
      </rPr>
      <t>²</t>
    </r>
  </si>
  <si>
    <r>
      <t>м</t>
    </r>
    <r>
      <rPr>
        <sz val="10"/>
        <rFont val="Arial"/>
        <family val="2"/>
      </rPr>
      <t>²</t>
    </r>
  </si>
  <si>
    <t>пр.139,т.4п.8</t>
  </si>
  <si>
    <t>пр.139,т.4п.19</t>
  </si>
  <si>
    <t>пр.139,т.4п.27</t>
  </si>
  <si>
    <t>пр.139,т.9п.29</t>
  </si>
  <si>
    <t>Восстановление разрушенной тепловой изоляции</t>
  </si>
  <si>
    <t>пр.139,т.4п.35</t>
  </si>
  <si>
    <t>пр.139,т.5п.18,19</t>
  </si>
  <si>
    <t xml:space="preserve">д - 100 мм </t>
  </si>
  <si>
    <t>1 участок</t>
  </si>
  <si>
    <t>8817,80+7703,40=16521,20</t>
  </si>
  <si>
    <t>Смена паралельной задвижки, д до 100 мм</t>
  </si>
  <si>
    <t>пр.139,т.5п.18,19, прим.</t>
  </si>
  <si>
    <t xml:space="preserve">Смена отдельных участков внутренних чугунных канализационных выпусков,д-50мм,(замена отдельных элементов) </t>
  </si>
  <si>
    <t>ТЕРр65-7-01(прим.)</t>
  </si>
  <si>
    <t>1м</t>
  </si>
  <si>
    <t>ТЕРр65-7-02(прим.)</t>
  </si>
  <si>
    <t>Устройство опор для трубопровода из кирпича</t>
  </si>
  <si>
    <r>
      <t>1м</t>
    </r>
    <r>
      <rPr>
        <sz val="10"/>
        <rFont val="Arial"/>
        <family val="2"/>
      </rPr>
      <t>³</t>
    </r>
  </si>
  <si>
    <t>пр.139,т.1п.16,ч.3</t>
  </si>
  <si>
    <t>Смена внутренних трубопроводов из чугунных канализационных труб  Д  до 100 мм</t>
  </si>
  <si>
    <t>до 50 мм</t>
  </si>
  <si>
    <t>Материалы:</t>
  </si>
  <si>
    <t>стр. 46</t>
  </si>
  <si>
    <t>труба в/г д - 50 мм</t>
  </si>
  <si>
    <t>1 м п.</t>
  </si>
  <si>
    <t>карбид</t>
  </si>
  <si>
    <t>кислород</t>
  </si>
  <si>
    <t>стр.47</t>
  </si>
  <si>
    <t>задвижка д - 100 мм</t>
  </si>
  <si>
    <t>задвижка д - 50 мм</t>
  </si>
  <si>
    <t>стр.48</t>
  </si>
  <si>
    <t>вентиль д - 25 мм</t>
  </si>
  <si>
    <t>вентиль д - 32 мм</t>
  </si>
  <si>
    <t>1 вен.</t>
  </si>
  <si>
    <t xml:space="preserve">стр. 49 </t>
  </si>
  <si>
    <t>нитроэмаль</t>
  </si>
  <si>
    <t>1 кг</t>
  </si>
  <si>
    <t>стр50</t>
  </si>
  <si>
    <r>
      <t>1 м</t>
    </r>
    <r>
      <rPr>
        <sz val="10"/>
        <rFont val="Arial"/>
        <family val="2"/>
      </rPr>
      <t>²</t>
    </r>
  </si>
  <si>
    <t>Теплоизоляция (д-40 мм)</t>
  </si>
  <si>
    <t>стр.51</t>
  </si>
  <si>
    <t>фасонные части</t>
  </si>
  <si>
    <r>
      <t>6м</t>
    </r>
    <r>
      <rPr>
        <sz val="10"/>
        <rFont val="Arial"/>
        <family val="2"/>
      </rPr>
      <t>³-220 р.</t>
    </r>
  </si>
  <si>
    <t>труба  канализ.</t>
  </si>
  <si>
    <t>1 м</t>
  </si>
  <si>
    <t>стр.53</t>
  </si>
  <si>
    <t>Ремонт бетонных ступеней</t>
  </si>
  <si>
    <t>2.2,т.1п34</t>
  </si>
  <si>
    <t>1 место</t>
  </si>
  <si>
    <t>выбоины до 0,25 кв. м</t>
  </si>
  <si>
    <t>выбоины до 0,5 кв. м</t>
  </si>
  <si>
    <t>2.2,т.1п32</t>
  </si>
  <si>
    <t>Заделка и герметизация швов и стыков</t>
  </si>
  <si>
    <t>1 м шва</t>
  </si>
  <si>
    <t>2.2,т.1п31</t>
  </si>
  <si>
    <t>Ремонт кирпичных стен (приямков)</t>
  </si>
  <si>
    <t>1 кв.м стен, приямков</t>
  </si>
  <si>
    <t>2.2,т.2п.1</t>
  </si>
  <si>
    <t>Кладка отдельных участков кирпичных стен и заделка проемов</t>
  </si>
  <si>
    <t>1 куб. м. кладки</t>
  </si>
  <si>
    <t xml:space="preserve">Заделка продухов на зиму </t>
  </si>
  <si>
    <t>2.2,т.2п.31(прим)</t>
  </si>
  <si>
    <t>2.2,т.2п.37</t>
  </si>
  <si>
    <t>Смена обделок и примыканий из листовой стали к кам. Стенам</t>
  </si>
  <si>
    <t xml:space="preserve">Смена мягкой кровли в два слоя </t>
  </si>
  <si>
    <t>1 кв. м</t>
  </si>
  <si>
    <t>2.2,т.2п.41</t>
  </si>
  <si>
    <t>2.2,т.2п.46</t>
  </si>
  <si>
    <t>Рем. оконных переплетов</t>
  </si>
  <si>
    <t>1 створка</t>
  </si>
  <si>
    <t>2.2 т.5 п.3</t>
  </si>
  <si>
    <t>Рем. форточки</t>
  </si>
  <si>
    <t>1 форт.</t>
  </si>
  <si>
    <t>2.2 т.5 п.10</t>
  </si>
  <si>
    <t>Рем. дверных полотен</t>
  </si>
  <si>
    <t>1 кв.м полотна</t>
  </si>
  <si>
    <t>2.2 т.5 п.12</t>
  </si>
  <si>
    <t>Смена петель</t>
  </si>
  <si>
    <t>2 петли</t>
  </si>
  <si>
    <t>2.2 т.5 п.17</t>
  </si>
  <si>
    <t>1 прибор</t>
  </si>
  <si>
    <t>Смена оконных и дверных приборов, пружина</t>
  </si>
  <si>
    <t xml:space="preserve"> - шпингалет оконный </t>
  </si>
  <si>
    <t xml:space="preserve"> - ручки оконные и дверные</t>
  </si>
  <si>
    <t>2.2 т.5 п.30</t>
  </si>
  <si>
    <t>Заделка выбоин в цементных полах</t>
  </si>
  <si>
    <t>1 кв. м пола</t>
  </si>
  <si>
    <t>ТЕРр68-27-2(прим)</t>
  </si>
  <si>
    <t>Рем. лавочек (замена бруса или доски)</t>
  </si>
  <si>
    <r>
      <t>0,15*2,5=0,375 кв. м/0,0135м</t>
    </r>
    <r>
      <rPr>
        <sz val="10"/>
        <rFont val="Arial"/>
        <family val="2"/>
      </rPr>
      <t>³(1 доска или 3 бруска)</t>
    </r>
  </si>
  <si>
    <t>2.2. т9п.22</t>
  </si>
  <si>
    <t>1 кв. м поверхности</t>
  </si>
  <si>
    <t xml:space="preserve">Рем. цоколя </t>
  </si>
  <si>
    <t xml:space="preserve">1 кв. м </t>
  </si>
  <si>
    <t>рем. штукатурки</t>
  </si>
  <si>
    <t>ТЕРр61-10-01, 61-10-02(прим)</t>
  </si>
  <si>
    <t>окраска  цоколя за 1 разпо подотовленной поверхности с земли и лесовперхлорвиниловыми красками</t>
  </si>
  <si>
    <t>ТЕРр 62-26-01</t>
  </si>
  <si>
    <t>100кв.м пов. - 32,3 кг, уайт-спирит-1,1 кг.</t>
  </si>
  <si>
    <r>
      <t>на 100кв. М - 2,2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</t>
    </r>
  </si>
  <si>
    <t>25 кг=400 руб, колер 750г-180 руб.</t>
  </si>
  <si>
    <t>на 1 кв. м 0,192кг</t>
  </si>
  <si>
    <r>
      <t>1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доски-7500 руб</t>
    </r>
  </si>
  <si>
    <t>лист металл.</t>
  </si>
  <si>
    <t>кв.м -53,0руб.</t>
  </si>
  <si>
    <t>краска-75 руб 1 кг</t>
  </si>
  <si>
    <t>стекло1 кв. м-169,37 р.</t>
  </si>
  <si>
    <t>цемент, 6,8 кг на1 кв. м</t>
  </si>
  <si>
    <t>25,0 руб</t>
  </si>
  <si>
    <t>30,0 руб.</t>
  </si>
  <si>
    <t>25руб.</t>
  </si>
  <si>
    <t>ТЕРр63-1-3</t>
  </si>
  <si>
    <t xml:space="preserve">Смена стекол при площ. стекла до 1 кв. м, 1,378 </t>
  </si>
  <si>
    <t>Электромонтажные работы:</t>
  </si>
  <si>
    <t>Замена эл. проводки</t>
  </si>
  <si>
    <t>100м покр-277 кг,толщ0,75 мм,оцинк.,гвозди 1 кг</t>
  </si>
  <si>
    <t>на 1 кв. м покрытия-1,35 , гвозди 0,015кг.</t>
  </si>
  <si>
    <t>1доска0,15*2,5*0,05=0,01875</t>
  </si>
  <si>
    <t>100мест,раств.цем.</t>
  </si>
  <si>
    <r>
      <t>0,43м</t>
    </r>
    <r>
      <rPr>
        <sz val="10"/>
        <rFont val="Arial"/>
        <family val="2"/>
      </rPr>
      <t>³</t>
    </r>
  </si>
  <si>
    <t>цем. для железнения</t>
  </si>
  <si>
    <t>10 кг</t>
  </si>
  <si>
    <t>20 кг</t>
  </si>
  <si>
    <t>выбоины до 1 кв. м</t>
  </si>
  <si>
    <t>45 кг</t>
  </si>
  <si>
    <r>
      <t>1м³кладки - 402шт. Кирп., 0253м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раствора</t>
    </r>
  </si>
  <si>
    <r>
      <t>100м шва-0,02м</t>
    </r>
    <r>
      <rPr>
        <sz val="10"/>
        <rFont val="Arial"/>
        <family val="2"/>
      </rPr>
      <t>³,0,04м³</t>
    </r>
  </si>
  <si>
    <t>2.2.2.3.т.6</t>
  </si>
  <si>
    <t>1 м пров.</t>
  </si>
  <si>
    <t>Замена эл. установочных изделий</t>
  </si>
  <si>
    <t>провод2*2,5</t>
  </si>
  <si>
    <t>электроуст. Изд.</t>
  </si>
  <si>
    <t>1 шт.</t>
  </si>
  <si>
    <t>материал</t>
  </si>
  <si>
    <t>кг</t>
  </si>
  <si>
    <r>
      <t>м</t>
    </r>
    <r>
      <rPr>
        <sz val="10"/>
        <rFont val="Arial"/>
        <family val="2"/>
      </rPr>
      <t>³</t>
    </r>
  </si>
  <si>
    <t>1лист</t>
  </si>
  <si>
    <t>материалы (шифер)</t>
  </si>
  <si>
    <t>гвозди</t>
  </si>
  <si>
    <t>стоимость материалов</t>
  </si>
  <si>
    <t>Непредвид. Работы, з/пл. с нач.</t>
  </si>
  <si>
    <r>
      <t>Окраска скамеек (3,2м</t>
    </r>
    <r>
      <rPr>
        <sz val="10"/>
        <rFont val="Arial"/>
        <family val="2"/>
      </rPr>
      <t>²</t>
    </r>
    <r>
      <rPr>
        <sz val="10"/>
        <rFont val="Arial Cyr"/>
        <family val="0"/>
      </rPr>
      <t>)</t>
    </r>
  </si>
  <si>
    <t>Смена поврежденных листов шиф. кровель( коз. входа в под.)</t>
  </si>
  <si>
    <t xml:space="preserve">переходы </t>
  </si>
  <si>
    <t>ФЗВ</t>
  </si>
  <si>
    <t xml:space="preserve"> заготовка досок для ремонта( распиловка и обработка на станке)</t>
  </si>
  <si>
    <t>Осмотр кровель,конструктивных элементов зданий в период подготовки к сезонной эксплуатации</t>
  </si>
  <si>
    <t xml:space="preserve"> - кровли (шиф.)</t>
  </si>
  <si>
    <r>
      <t>1000 м</t>
    </r>
    <r>
      <rPr>
        <sz val="10"/>
        <rFont val="Arial"/>
        <family val="2"/>
      </rPr>
      <t>²</t>
    </r>
  </si>
  <si>
    <t xml:space="preserve"> -осмотр дер. Констр.</t>
  </si>
  <si>
    <r>
      <t>100м</t>
    </r>
    <r>
      <rPr>
        <sz val="8"/>
        <rFont val="Arial"/>
        <family val="2"/>
      </rPr>
      <t>³</t>
    </r>
    <r>
      <rPr>
        <sz val="8"/>
        <rFont val="Arial Cyr"/>
        <family val="0"/>
      </rPr>
      <t xml:space="preserve"> здан.</t>
    </r>
  </si>
  <si>
    <t xml:space="preserve"> - зап. дверных и оконных проемов</t>
  </si>
  <si>
    <t>1000 м²</t>
  </si>
  <si>
    <t>стол.4 р.</t>
  </si>
  <si>
    <t>кр.4 р .</t>
  </si>
  <si>
    <t>плотн.4 р.</t>
  </si>
  <si>
    <t>тип. нор. врем.</t>
  </si>
  <si>
    <t xml:space="preserve"> - осмотр внутр. и нар.штукат и облицовки стен</t>
  </si>
  <si>
    <t>мал.-штук.4р.</t>
  </si>
  <si>
    <t xml:space="preserve"> - осмотр внутр. и нар. Окраски стен</t>
  </si>
  <si>
    <t xml:space="preserve"> - осмотр каменных конструкций стен</t>
  </si>
  <si>
    <t>кам. 3 р.</t>
  </si>
  <si>
    <t>итого - проф. осмотры  - 2 раза в год. с нач.</t>
  </si>
  <si>
    <t>Дополнительные работы по уч-ку конструктивных элементов(рем. о окраска скамеек, рем. коз. входа в под., осмотр кровель, констр. элементов зданий в период подготовки к сезонной эксплуатации, затраты на рем. и ГСМ автом., затраты на з. плату и ЕСН водителя и кладовщика, прочие работы по обслуж. жилищного фонда)</t>
  </si>
  <si>
    <t>Итого: ФОТс ЕСН</t>
  </si>
  <si>
    <t>Итого материалы:</t>
  </si>
  <si>
    <t>Всего мат по уч-ку инж. об.</t>
  </si>
  <si>
    <t>Всего ФОТ с нач. по уч.инж. об.</t>
  </si>
  <si>
    <t>118*0,006кг*200руб за кг=141,60 руб.</t>
  </si>
  <si>
    <t>наб. сальниковая0,043 кг*1*200р.кг=8,60руб., прокл.паранит. 2 шт. - 60руб., болты с гайками- 0,62кг*80=49,60 руб.- всего 118,20 руб.</t>
  </si>
  <si>
    <t>прок-3*30,0 руб.=90 руб., болты с шайбами и гайками 45м*5кг/100м*80 руб.=180 руб.</t>
  </si>
  <si>
    <t xml:space="preserve">Стоимость материалов по проф. работам </t>
  </si>
  <si>
    <t>Непредвиденные затраты</t>
  </si>
  <si>
    <t>вяз. проволока</t>
  </si>
  <si>
    <t>Доп. работы по уч-ку инж. оборудования</t>
  </si>
  <si>
    <t>Рем. работы по участку констр. эл.</t>
  </si>
  <si>
    <t xml:space="preserve"> - ФОТ с ЕСН по прочим раб.</t>
  </si>
  <si>
    <t xml:space="preserve"> - матеиалы по прочим раб.</t>
  </si>
  <si>
    <t xml:space="preserve"> - ФОТ с ЕСН по рем. работам</t>
  </si>
  <si>
    <t xml:space="preserve"> - материалы по рем. работам</t>
  </si>
  <si>
    <t>Непредвиденные работы по текущему ремонту общего имущества жилого дома (услуги стор. организ.)</t>
  </si>
  <si>
    <t>Дополнительные рем.  работы (по необходимости)</t>
  </si>
  <si>
    <t>5.5.</t>
  </si>
  <si>
    <t>5.6.</t>
  </si>
  <si>
    <t>5.7.</t>
  </si>
  <si>
    <t>рем. констр. Эл.</t>
  </si>
  <si>
    <t xml:space="preserve"> - ФОТ С ЕСН по обходам</t>
  </si>
  <si>
    <t>ФОТ С ЕСН по  план.раб.</t>
  </si>
  <si>
    <t>ФОТ с ЕСН по профработам</t>
  </si>
  <si>
    <t>ФОТ С ЕСН по прочим раб.</t>
  </si>
  <si>
    <t>ФОТ С ЕСН по общим раб.</t>
  </si>
  <si>
    <t>итого:</t>
  </si>
  <si>
    <t>Материалы по план. Раб.</t>
  </si>
  <si>
    <t>мат. по прочим раб.</t>
  </si>
  <si>
    <t>всего по уч.</t>
  </si>
  <si>
    <t>По  необходимости</t>
  </si>
  <si>
    <t>Побелка бордюрного камня, стволов деревьев</t>
  </si>
  <si>
    <t xml:space="preserve"> - 718 руб.</t>
  </si>
  <si>
    <t>Стоимость затрат на содержание  внутридомового инженерного оборудования и конструктивных элементов ж.д. 147 по пр. Б. Хм.</t>
  </si>
  <si>
    <t>вода - 7114руб., 7114/154,68121*1085,20=66,24 руб.</t>
  </si>
  <si>
    <t>118,20 руб.</t>
  </si>
  <si>
    <t>прокл.- 60 р.,крепеж - 120 р.</t>
  </si>
  <si>
    <t>добавить(14669,716--2229,85)</t>
  </si>
  <si>
    <t xml:space="preserve"> - профраб. Профосмотр</t>
  </si>
  <si>
    <t>непредвиденные раб. ( материалы)</t>
  </si>
  <si>
    <t>700,0 руб.</t>
  </si>
  <si>
    <t>14840,85-2229,85=12611,0+проф. осмотр.271,32=12882,32</t>
  </si>
  <si>
    <t xml:space="preserve"> - матер по проф. раб. и осмотр.</t>
  </si>
  <si>
    <t>200 руб.-450руб.</t>
  </si>
  <si>
    <t>16204,33- (648,11+1091,70=1740,0) =14464,33</t>
  </si>
  <si>
    <t>мат. по плану - 5743,0 - 174,0= 4003 руб.</t>
  </si>
  <si>
    <t>З.пл. с ЕСН по пл.13,24+4,53=17,77 т. р.</t>
  </si>
  <si>
    <t>надо набрать з.пл.2463 руб. ЕСН- 843 руб.</t>
  </si>
  <si>
    <t>ФОТ с ЕСН</t>
  </si>
  <si>
    <t>4003+218,4=4221,4</t>
  </si>
  <si>
    <t>итого мат.</t>
  </si>
  <si>
    <t>итого з.пл. с ЕСН</t>
  </si>
  <si>
    <t>всего</t>
  </si>
  <si>
    <t>непредвиденные расх.</t>
  </si>
  <si>
    <t>итого</t>
  </si>
  <si>
    <t>24030,69-12882,32-648,11=10500,26</t>
  </si>
  <si>
    <t>2.2.6.</t>
  </si>
  <si>
    <t>2.1.7.</t>
  </si>
  <si>
    <t>Исходные данные  дома по  пр. Б.Хм.153</t>
  </si>
  <si>
    <t>Санитарное содержание жилых зданий и придомовой территории ж.д.№153</t>
  </si>
  <si>
    <t>Затраты на спецодежду, инвентарь (прик 191, нормы по спецодежде) ж.д. №153 по пр. Б. Хмм</t>
  </si>
  <si>
    <t>Сводная таблица "Содержание жилого дома по  видам работ" №153 по пр. Б. Хмельницкого</t>
  </si>
  <si>
    <t>Дополнительные ремонтные работы по участку внутридомового инженерного оборудования, по участку конструктивных элементов жилых зданий, содержание и ремонт автотранспорта, прочие затраты</t>
  </si>
  <si>
    <t>Перечень работ и услуг по содержанию и текущему ремонту общего имущества многоквартирного дома по адресу: пр. Б. Хмельницкого,153</t>
  </si>
  <si>
    <t xml:space="preserve">Влажное подметание лестничных площадок и маршей нижних двух этажей  </t>
  </si>
  <si>
    <t xml:space="preserve">Влажное подметание лестничных площадок и маршей  выше второго этажа   </t>
  </si>
  <si>
    <t>1.7.</t>
  </si>
  <si>
    <t>1 раза в год</t>
  </si>
  <si>
    <t>с 01.07.14г.- 9,91</t>
  </si>
  <si>
    <t>Без ОДН- 9,84</t>
  </si>
  <si>
    <t>Администрация ООО "Управляющая компания РЭУ №6"</t>
  </si>
  <si>
    <t>Задолженность по квартплате дома №151 по пр-ту Б.Хмельницкого на 01.01.2016 г.9769,53руб.</t>
  </si>
  <si>
    <t>Задолженность по квартплате дома №153 по пр-ту Б.Хмельницкого на 01.01.2016 г. 15710,41 руб.</t>
  </si>
  <si>
    <t>(-13441,56)</t>
  </si>
  <si>
    <t>Финансовый результат отрицательный</t>
  </si>
  <si>
    <t>ИТОГО РАСХОДОВ:</t>
  </si>
  <si>
    <t>Очистка канализационной системы</t>
  </si>
  <si>
    <t>подкладка кирпичей под трубы</t>
  </si>
  <si>
    <t>Закрытие ляды</t>
  </si>
  <si>
    <t>Прочие работы по дому всего, в том числе:</t>
  </si>
  <si>
    <t>Имущественные налоги</t>
  </si>
  <si>
    <t>Аренда муниципального помещения</t>
  </si>
  <si>
    <t>10.</t>
  </si>
  <si>
    <t>Внеэсплуатационные  расходы</t>
  </si>
  <si>
    <t>9.</t>
  </si>
  <si>
    <t>Общеэксплуатационные  расходы</t>
  </si>
  <si>
    <t>8.</t>
  </si>
  <si>
    <t>Услуги др. сторонних организаций</t>
  </si>
  <si>
    <t>Услуги   РРКЦ и услуги банков</t>
  </si>
  <si>
    <t>Проверка тех. состояния ВК и ДХ</t>
  </si>
  <si>
    <t>Тех.обслуживание газовых труб, лабораторные испытания и измерения электрооборудования в жилых домах</t>
  </si>
  <si>
    <t xml:space="preserve">  дератизация</t>
  </si>
  <si>
    <t xml:space="preserve">  аварийная служба</t>
  </si>
  <si>
    <t>Затраты на пред услуги электроэнергия</t>
  </si>
  <si>
    <t>Услуги сторонних организаций -всего, в т. ч.</t>
  </si>
  <si>
    <t>6.</t>
  </si>
  <si>
    <t>страх. Взносы</t>
  </si>
  <si>
    <t>зар. плата АУП</t>
  </si>
  <si>
    <t>Содержание АУП</t>
  </si>
  <si>
    <t>5.</t>
  </si>
  <si>
    <t>Прочее по основному производству</t>
  </si>
  <si>
    <t>4.</t>
  </si>
  <si>
    <t xml:space="preserve">  вывоз КГМ</t>
  </si>
  <si>
    <t>материалы</t>
  </si>
  <si>
    <t>зар. плата</t>
  </si>
  <si>
    <t>Благоустройство и обеспечение санитарного состояния жилых зданий и придомовых террит.</t>
  </si>
  <si>
    <t>3.</t>
  </si>
  <si>
    <t>страх.взносы</t>
  </si>
  <si>
    <t>Ремонт конструктивных элементов</t>
  </si>
  <si>
    <t>сантех. и электротех. работы</t>
  </si>
  <si>
    <t>страх взносы</t>
  </si>
  <si>
    <t>Ремонт внутридомового инженерного оборудования всего, в том числе:</t>
  </si>
  <si>
    <t>Расходы:</t>
  </si>
  <si>
    <t>Платежи населения</t>
  </si>
  <si>
    <t>Доходы:</t>
  </si>
  <si>
    <t>п/п</t>
  </si>
  <si>
    <t>Долг</t>
  </si>
  <si>
    <t>Факт 2015 г.</t>
  </si>
  <si>
    <t>План 2015 г.</t>
  </si>
  <si>
    <r>
      <t xml:space="preserve">Ст-ть 1 м </t>
    </r>
    <r>
      <rPr>
        <sz val="8"/>
        <color indexed="10"/>
        <rFont val="Arial"/>
        <family val="2"/>
      </rPr>
      <t>² руб.мес. с 01.07.15г.</t>
    </r>
  </si>
  <si>
    <r>
      <t xml:space="preserve">Ст-ть 1 м </t>
    </r>
    <r>
      <rPr>
        <sz val="8"/>
        <color indexed="10"/>
        <rFont val="Arial"/>
        <family val="2"/>
      </rPr>
      <t>² руб.мес.с 01.09.14г.</t>
    </r>
  </si>
  <si>
    <t>Статьи затрат</t>
  </si>
  <si>
    <t xml:space="preserve">№ </t>
  </si>
  <si>
    <t xml:space="preserve">      тыс. руб.</t>
  </si>
  <si>
    <r>
      <t xml:space="preserve"> </t>
    </r>
    <r>
      <rPr>
        <sz val="8"/>
        <color indexed="10"/>
        <rFont val="Arial Cyr"/>
        <family val="0"/>
      </rPr>
      <t xml:space="preserve">Количество квартир  -24 шт. Количество чел -  57 чел.  Собственность в %: муницип. -5,6%  собственн. -94,4%  </t>
    </r>
  </si>
  <si>
    <t xml:space="preserve">Характеристика жилого дома :         год строительства  -  1962г.,          общая площадь квартир  - 943,6 кв. м                                       </t>
  </si>
  <si>
    <r>
      <t>п</t>
    </r>
    <r>
      <rPr>
        <sz val="8"/>
        <color indexed="10"/>
        <rFont val="Arial Cyr"/>
        <family val="0"/>
      </rPr>
      <t>о плану финансово-хозяйственной деятельности  по жилому дому  № 153       по пр. Б. Хмельницкого</t>
    </r>
  </si>
  <si>
    <t xml:space="preserve">                                                                   Отчет</t>
  </si>
  <si>
    <t>Информацию Вы можете получить по  тел. 35-92-49</t>
  </si>
  <si>
    <t>Уважаемые собственники жилья, направляем Вам отчет об обслуживании вашего дома за 2015 год.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</si>
</sst>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8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15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color indexed="10"/>
      <name val="Arial Cyr"/>
      <family val="0"/>
    </font>
    <font>
      <sz val="10"/>
      <color indexed="14"/>
      <name val="Arial Cyr"/>
      <family val="0"/>
    </font>
    <font>
      <sz val="9"/>
      <color indexed="14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b/>
      <sz val="8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0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1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70" fontId="2" fillId="34" borderId="11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10" fillId="0" borderId="21" xfId="0" applyFont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22" xfId="0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2" fillId="34" borderId="19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26" xfId="0" applyBorder="1" applyAlignment="1">
      <alignment wrapText="1"/>
    </xf>
    <xf numFmtId="168" fontId="0" fillId="0" borderId="10" xfId="0" applyNumberFormat="1" applyFill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27" xfId="0" applyBorder="1" applyAlignment="1">
      <alignment horizontal="center" wrapText="1"/>
    </xf>
    <xf numFmtId="168" fontId="0" fillId="0" borderId="12" xfId="0" applyNumberFormat="1" applyBorder="1" applyAlignment="1">
      <alignment horizontal="center" wrapText="1"/>
    </xf>
    <xf numFmtId="168" fontId="2" fillId="0" borderId="12" xfId="0" applyNumberFormat="1" applyFon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3" fontId="0" fillId="0" borderId="16" xfId="0" applyNumberForma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34" borderId="17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wrapText="1"/>
    </xf>
    <xf numFmtId="49" fontId="0" fillId="0" borderId="21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172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8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19" fillId="33" borderId="39" xfId="0" applyFont="1" applyFill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19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wrapText="1"/>
    </xf>
    <xf numFmtId="0" fontId="7" fillId="34" borderId="36" xfId="0" applyFont="1" applyFill="1" applyBorder="1" applyAlignment="1">
      <alignment horizontal="center" wrapText="1"/>
    </xf>
    <xf numFmtId="14" fontId="7" fillId="0" borderId="35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left"/>
    </xf>
    <xf numFmtId="0" fontId="7" fillId="0" borderId="39" xfId="0" applyFont="1" applyFill="1" applyBorder="1" applyAlignment="1">
      <alignment horizontal="center" wrapText="1"/>
    </xf>
    <xf numFmtId="3" fontId="0" fillId="34" borderId="16" xfId="0" applyNumberFormat="1" applyFill="1" applyBorder="1" applyAlignment="1">
      <alignment horizontal="center" wrapText="1"/>
    </xf>
    <xf numFmtId="4" fontId="2" fillId="34" borderId="17" xfId="0" applyNumberFormat="1" applyFont="1" applyFill="1" applyBorder="1" applyAlignment="1">
      <alignment horizontal="center" wrapText="1"/>
    </xf>
    <xf numFmtId="4" fontId="2" fillId="34" borderId="41" xfId="0" applyNumberFormat="1" applyFont="1" applyFill="1" applyBorder="1" applyAlignment="1">
      <alignment horizontal="center" wrapText="1"/>
    </xf>
    <xf numFmtId="3" fontId="0" fillId="0" borderId="42" xfId="0" applyNumberForma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3" fontId="2" fillId="34" borderId="41" xfId="0" applyNumberFormat="1" applyFont="1" applyFill="1" applyBorder="1" applyAlignment="1">
      <alignment horizontal="center" wrapText="1"/>
    </xf>
    <xf numFmtId="3" fontId="0" fillId="34" borderId="44" xfId="0" applyNumberFormat="1" applyFill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3" fontId="0" fillId="0" borderId="30" xfId="0" applyNumberFormat="1" applyBorder="1" applyAlignment="1">
      <alignment horizontal="center" wrapText="1"/>
    </xf>
    <xf numFmtId="4" fontId="2" fillId="34" borderId="10" xfId="0" applyNumberFormat="1" applyFont="1" applyFill="1" applyBorder="1" applyAlignment="1">
      <alignment horizontal="center" wrapText="1"/>
    </xf>
    <xf numFmtId="4" fontId="2" fillId="34" borderId="12" xfId="0" applyNumberFormat="1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168" fontId="2" fillId="35" borderId="13" xfId="0" applyNumberFormat="1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2" fontId="12" fillId="33" borderId="44" xfId="0" applyNumberFormat="1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2" fillId="33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wrapText="1"/>
    </xf>
    <xf numFmtId="0" fontId="11" fillId="0" borderId="47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172" fontId="0" fillId="0" borderId="16" xfId="0" applyNumberFormat="1" applyFont="1" applyBorder="1" applyAlignment="1">
      <alignment horizontal="center"/>
    </xf>
    <xf numFmtId="172" fontId="11" fillId="33" borderId="44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172" fontId="2" fillId="33" borderId="44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 wrapText="1"/>
    </xf>
    <xf numFmtId="172" fontId="11" fillId="0" borderId="48" xfId="0" applyNumberFormat="1" applyFont="1" applyFill="1" applyBorder="1" applyAlignment="1">
      <alignment horizontal="center" wrapText="1"/>
    </xf>
    <xf numFmtId="172" fontId="2" fillId="34" borderId="42" xfId="0" applyNumberFormat="1" applyFont="1" applyFill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0" fillId="0" borderId="2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31" xfId="0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3" fillId="0" borderId="44" xfId="0" applyFont="1" applyBorder="1" applyAlignment="1">
      <alignment horizontal="center"/>
    </xf>
    <xf numFmtId="0" fontId="0" fillId="36" borderId="10" xfId="0" applyFill="1" applyBorder="1" applyAlignment="1">
      <alignment horizontal="center" wrapText="1"/>
    </xf>
    <xf numFmtId="2" fontId="0" fillId="36" borderId="10" xfId="0" applyNumberForma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 wrapText="1"/>
    </xf>
    <xf numFmtId="0" fontId="0" fillId="35" borderId="16" xfId="0" applyFill="1" applyBorder="1" applyAlignment="1">
      <alignment horizontal="center" wrapText="1"/>
    </xf>
    <xf numFmtId="0" fontId="0" fillId="36" borderId="16" xfId="0" applyFill="1" applyBorder="1" applyAlignment="1">
      <alignment horizontal="center" wrapText="1"/>
    </xf>
    <xf numFmtId="2" fontId="0" fillId="35" borderId="12" xfId="0" applyNumberFormat="1" applyFill="1" applyBorder="1" applyAlignment="1">
      <alignment horizontal="center" wrapText="1"/>
    </xf>
    <xf numFmtId="2" fontId="0" fillId="36" borderId="12" xfId="0" applyNumberForma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2" fontId="2" fillId="36" borderId="12" xfId="0" applyNumberFormat="1" applyFont="1" applyFill="1" applyBorder="1" applyAlignment="1">
      <alignment horizontal="center"/>
    </xf>
    <xf numFmtId="4" fontId="0" fillId="0" borderId="16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3" fillId="0" borderId="10" xfId="0" applyFont="1" applyBorder="1" applyAlignment="1">
      <alignment horizontal="left" wrapText="1"/>
    </xf>
    <xf numFmtId="49" fontId="0" fillId="0" borderId="49" xfId="0" applyNumberFormat="1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2" fontId="2" fillId="34" borderId="17" xfId="0" applyNumberFormat="1" applyFont="1" applyFill="1" applyBorder="1" applyAlignment="1">
      <alignment horizontal="center"/>
    </xf>
    <xf numFmtId="4" fontId="2" fillId="34" borderId="41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0" fillId="0" borderId="0" xfId="0" applyFont="1" applyAlignment="1">
      <alignment horizontal="center"/>
    </xf>
    <xf numFmtId="49" fontId="21" fillId="0" borderId="0" xfId="0" applyNumberFormat="1" applyFont="1" applyAlignment="1">
      <alignment horizontal="center" wrapText="1"/>
    </xf>
    <xf numFmtId="49" fontId="21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0" fontId="0" fillId="0" borderId="35" xfId="0" applyBorder="1" applyAlignment="1">
      <alignment horizontal="center" wrapText="1"/>
    </xf>
    <xf numFmtId="9" fontId="0" fillId="0" borderId="35" xfId="0" applyNumberFormat="1" applyBorder="1" applyAlignment="1">
      <alignment horizontal="center" wrapText="1"/>
    </xf>
    <xf numFmtId="169" fontId="0" fillId="0" borderId="35" xfId="0" applyNumberFormat="1" applyBorder="1" applyAlignment="1">
      <alignment horizontal="center" wrapText="1"/>
    </xf>
    <xf numFmtId="0" fontId="2" fillId="34" borderId="35" xfId="0" applyFont="1" applyFill="1" applyBorder="1" applyAlignment="1">
      <alignment horizontal="center" wrapText="1"/>
    </xf>
    <xf numFmtId="0" fontId="0" fillId="35" borderId="35" xfId="0" applyFill="1" applyBorder="1" applyAlignment="1">
      <alignment horizontal="center" wrapText="1"/>
    </xf>
    <xf numFmtId="0" fontId="0" fillId="36" borderId="35" xfId="0" applyFill="1" applyBorder="1" applyAlignment="1">
      <alignment horizontal="center" wrapText="1"/>
    </xf>
    <xf numFmtId="0" fontId="2" fillId="36" borderId="35" xfId="0" applyFont="1" applyFill="1" applyBorder="1" applyAlignment="1">
      <alignment horizontal="center" wrapText="1"/>
    </xf>
    <xf numFmtId="0" fontId="2" fillId="35" borderId="37" xfId="0" applyFont="1" applyFill="1" applyBorder="1" applyAlignment="1">
      <alignment horizontal="center"/>
    </xf>
    <xf numFmtId="9" fontId="0" fillId="0" borderId="36" xfId="0" applyNumberFormat="1" applyBorder="1" applyAlignment="1">
      <alignment horizontal="center" wrapText="1"/>
    </xf>
    <xf numFmtId="0" fontId="2" fillId="34" borderId="39" xfId="0" applyFont="1" applyFill="1" applyBorder="1" applyAlignment="1">
      <alignment horizontal="center" wrapText="1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168" fontId="0" fillId="0" borderId="36" xfId="0" applyNumberFormat="1" applyFont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170" fontId="0" fillId="0" borderId="37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168" fontId="2" fillId="0" borderId="35" xfId="0" applyNumberFormat="1" applyFont="1" applyBorder="1" applyAlignment="1">
      <alignment horizontal="center"/>
    </xf>
    <xf numFmtId="168" fontId="0" fillId="0" borderId="35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 wrapText="1"/>
    </xf>
    <xf numFmtId="0" fontId="11" fillId="0" borderId="40" xfId="0" applyFont="1" applyFill="1" applyBorder="1" applyAlignment="1">
      <alignment horizontal="center" wrapText="1"/>
    </xf>
    <xf numFmtId="1" fontId="0" fillId="0" borderId="35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2" fontId="2" fillId="34" borderId="36" xfId="0" applyNumberFormat="1" applyFont="1" applyFill="1" applyBorder="1" applyAlignment="1">
      <alignment horizontal="center"/>
    </xf>
    <xf numFmtId="0" fontId="13" fillId="0" borderId="40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2" fillId="37" borderId="51" xfId="0" applyFont="1" applyFill="1" applyBorder="1" applyAlignment="1">
      <alignment horizontal="center" wrapText="1"/>
    </xf>
    <xf numFmtId="0" fontId="2" fillId="37" borderId="17" xfId="0" applyFont="1" applyFill="1" applyBorder="1" applyAlignment="1">
      <alignment wrapText="1"/>
    </xf>
    <xf numFmtId="0" fontId="0" fillId="37" borderId="17" xfId="0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3" xfId="0" applyBorder="1" applyAlignment="1">
      <alignment wrapText="1"/>
    </xf>
    <xf numFmtId="0" fontId="2" fillId="37" borderId="52" xfId="0" applyFont="1" applyFill="1" applyBorder="1" applyAlignment="1">
      <alignment wrapText="1"/>
    </xf>
    <xf numFmtId="0" fontId="2" fillId="37" borderId="41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14" fontId="7" fillId="0" borderId="37" xfId="0" applyNumberFormat="1" applyFont="1" applyBorder="1" applyAlignment="1">
      <alignment horizontal="center" wrapText="1"/>
    </xf>
    <xf numFmtId="168" fontId="2" fillId="0" borderId="37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169" fontId="0" fillId="0" borderId="35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2" fontId="0" fillId="0" borderId="41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2" fontId="0" fillId="0" borderId="17" xfId="0" applyNumberFormat="1" applyFont="1" applyFill="1" applyBorder="1" applyAlignment="1">
      <alignment horizontal="center" wrapText="1"/>
    </xf>
    <xf numFmtId="1" fontId="0" fillId="0" borderId="39" xfId="0" applyNumberFormat="1" applyFont="1" applyFill="1" applyBorder="1" applyAlignment="1">
      <alignment horizontal="center" wrapText="1"/>
    </xf>
    <xf numFmtId="3" fontId="0" fillId="0" borderId="16" xfId="0" applyNumberFormat="1" applyFont="1" applyFill="1" applyBorder="1" applyAlignment="1">
      <alignment horizontal="center" wrapText="1"/>
    </xf>
    <xf numFmtId="168" fontId="0" fillId="0" borderId="17" xfId="0" applyNumberFormat="1" applyFont="1" applyFill="1" applyBorder="1" applyAlignment="1">
      <alignment horizontal="center" wrapText="1"/>
    </xf>
    <xf numFmtId="2" fontId="0" fillId="0" borderId="41" xfId="0" applyNumberFormat="1" applyFont="1" applyFill="1" applyBorder="1" applyAlignment="1">
      <alignment horizontal="center"/>
    </xf>
    <xf numFmtId="170" fontId="0" fillId="0" borderId="39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4" fontId="0" fillId="0" borderId="25" xfId="0" applyNumberFormat="1" applyFont="1" applyFill="1" applyBorder="1" applyAlignment="1">
      <alignment horizontal="center" wrapText="1"/>
    </xf>
    <xf numFmtId="169" fontId="0" fillId="0" borderId="38" xfId="0" applyNumberFormat="1" applyFont="1" applyFill="1" applyBorder="1" applyAlignment="1">
      <alignment horizontal="center" wrapText="1"/>
    </xf>
    <xf numFmtId="3" fontId="0" fillId="0" borderId="32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2" fontId="2" fillId="0" borderId="56" xfId="0" applyNumberFormat="1" applyFont="1" applyBorder="1" applyAlignment="1">
      <alignment horizontal="center" wrapText="1"/>
    </xf>
    <xf numFmtId="2" fontId="24" fillId="0" borderId="0" xfId="0" applyNumberFormat="1" applyFont="1" applyAlignment="1">
      <alignment/>
    </xf>
    <xf numFmtId="0" fontId="0" fillId="0" borderId="57" xfId="0" applyFont="1" applyFill="1" applyBorder="1" applyAlignment="1">
      <alignment horizontal="center" wrapText="1"/>
    </xf>
    <xf numFmtId="170" fontId="0" fillId="0" borderId="57" xfId="0" applyNumberFormat="1" applyFont="1" applyFill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9" fontId="0" fillId="37" borderId="20" xfId="0" applyNumberFormat="1" applyFont="1" applyFill="1" applyBorder="1" applyAlignment="1">
      <alignment horizontal="center" wrapText="1"/>
    </xf>
    <xf numFmtId="0" fontId="13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58" xfId="0" applyFont="1" applyFill="1" applyBorder="1" applyAlignment="1">
      <alignment horizontal="center" wrapText="1"/>
    </xf>
    <xf numFmtId="2" fontId="11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9" fontId="24" fillId="0" borderId="0" xfId="0" applyNumberFormat="1" applyFont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168" fontId="11" fillId="0" borderId="10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3" fontId="0" fillId="0" borderId="48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49" fontId="0" fillId="0" borderId="20" xfId="0" applyNumberFormat="1" applyFont="1" applyBorder="1" applyAlignment="1">
      <alignment horizontal="center" wrapText="1"/>
    </xf>
    <xf numFmtId="0" fontId="2" fillId="38" borderId="17" xfId="0" applyFont="1" applyFill="1" applyBorder="1" applyAlignment="1">
      <alignment horizontal="center"/>
    </xf>
    <xf numFmtId="0" fontId="0" fillId="0" borderId="26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21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0" fontId="2" fillId="39" borderId="52" xfId="0" applyFont="1" applyFill="1" applyBorder="1" applyAlignment="1">
      <alignment wrapText="1"/>
    </xf>
    <xf numFmtId="168" fontId="2" fillId="39" borderId="55" xfId="0" applyNumberFormat="1" applyFont="1" applyFill="1" applyBorder="1" applyAlignment="1">
      <alignment horizontal="center" wrapText="1"/>
    </xf>
    <xf numFmtId="0" fontId="2" fillId="0" borderId="52" xfId="0" applyFont="1" applyFill="1" applyBorder="1" applyAlignment="1">
      <alignment wrapText="1"/>
    </xf>
    <xf numFmtId="0" fontId="2" fillId="37" borderId="18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2" fillId="39" borderId="5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2" fillId="39" borderId="18" xfId="0" applyFont="1" applyFill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1" fontId="2" fillId="33" borderId="17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68" fontId="2" fillId="0" borderId="35" xfId="0" applyNumberFormat="1" applyFont="1" applyFill="1" applyBorder="1" applyAlignment="1">
      <alignment horizontal="center"/>
    </xf>
    <xf numFmtId="0" fontId="11" fillId="40" borderId="20" xfId="0" applyFont="1" applyFill="1" applyBorder="1" applyAlignment="1">
      <alignment horizontal="center"/>
    </xf>
    <xf numFmtId="0" fontId="19" fillId="40" borderId="39" xfId="0" applyFont="1" applyFill="1" applyBorder="1" applyAlignment="1">
      <alignment horizontal="center"/>
    </xf>
    <xf numFmtId="0" fontId="11" fillId="40" borderId="17" xfId="0" applyFont="1" applyFill="1" applyBorder="1" applyAlignment="1">
      <alignment horizontal="center"/>
    </xf>
    <xf numFmtId="0" fontId="11" fillId="40" borderId="41" xfId="0" applyFont="1" applyFill="1" applyBorder="1" applyAlignment="1">
      <alignment horizontal="center"/>
    </xf>
    <xf numFmtId="172" fontId="11" fillId="40" borderId="44" xfId="0" applyNumberFormat="1" applyFont="1" applyFill="1" applyBorder="1" applyAlignment="1">
      <alignment horizontal="center"/>
    </xf>
    <xf numFmtId="0" fontId="11" fillId="40" borderId="39" xfId="0" applyFont="1" applyFill="1" applyBorder="1" applyAlignment="1">
      <alignment horizontal="center"/>
    </xf>
    <xf numFmtId="0" fontId="7" fillId="38" borderId="39" xfId="0" applyFont="1" applyFill="1" applyBorder="1" applyAlignment="1">
      <alignment horizontal="center"/>
    </xf>
    <xf numFmtId="2" fontId="2" fillId="38" borderId="17" xfId="0" applyNumberFormat="1" applyFont="1" applyFill="1" applyBorder="1" applyAlignment="1">
      <alignment horizontal="center"/>
    </xf>
    <xf numFmtId="0" fontId="2" fillId="38" borderId="41" xfId="0" applyFont="1" applyFill="1" applyBorder="1" applyAlignment="1">
      <alignment horizontal="center"/>
    </xf>
    <xf numFmtId="172" fontId="2" fillId="38" borderId="44" xfId="0" applyNumberFormat="1" applyFont="1" applyFill="1" applyBorder="1" applyAlignment="1">
      <alignment horizontal="center"/>
    </xf>
    <xf numFmtId="2" fontId="2" fillId="38" borderId="39" xfId="0" applyNumberFormat="1" applyFont="1" applyFill="1" applyBorder="1" applyAlignment="1">
      <alignment horizontal="center"/>
    </xf>
    <xf numFmtId="0" fontId="11" fillId="38" borderId="2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39" borderId="59" xfId="0" applyFont="1" applyFill="1" applyBorder="1" applyAlignment="1">
      <alignment horizontal="center"/>
    </xf>
    <xf numFmtId="0" fontId="11" fillId="39" borderId="60" xfId="0" applyFont="1" applyFill="1" applyBorder="1" applyAlignment="1">
      <alignment horizontal="center"/>
    </xf>
    <xf numFmtId="0" fontId="19" fillId="39" borderId="61" xfId="0" applyFont="1" applyFill="1" applyBorder="1" applyAlignment="1">
      <alignment horizontal="center"/>
    </xf>
    <xf numFmtId="2" fontId="11" fillId="39" borderId="59" xfId="0" applyNumberFormat="1" applyFont="1" applyFill="1" applyBorder="1" applyAlignment="1">
      <alignment horizontal="center"/>
    </xf>
    <xf numFmtId="0" fontId="11" fillId="39" borderId="62" xfId="0" applyFont="1" applyFill="1" applyBorder="1" applyAlignment="1">
      <alignment horizontal="center"/>
    </xf>
    <xf numFmtId="172" fontId="11" fillId="39" borderId="33" xfId="0" applyNumberFormat="1" applyFont="1" applyFill="1" applyBorder="1" applyAlignment="1">
      <alignment horizontal="center"/>
    </xf>
    <xf numFmtId="2" fontId="11" fillId="39" borderId="6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0" fontId="0" fillId="0" borderId="27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2" fillId="38" borderId="41" xfId="0" applyNumberFormat="1" applyFont="1" applyFill="1" applyBorder="1" applyAlignment="1">
      <alignment horizontal="center"/>
    </xf>
    <xf numFmtId="2" fontId="11" fillId="39" borderId="62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34" borderId="28" xfId="0" applyNumberFormat="1" applyFont="1" applyFill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0" fontId="0" fillId="0" borderId="63" xfId="0" applyBorder="1" applyAlignment="1">
      <alignment horizontal="center" wrapText="1"/>
    </xf>
    <xf numFmtId="0" fontId="13" fillId="0" borderId="22" xfId="0" applyFont="1" applyBorder="1" applyAlignment="1">
      <alignment wrapText="1"/>
    </xf>
    <xf numFmtId="49" fontId="0" fillId="0" borderId="23" xfId="0" applyNumberFormat="1" applyFont="1" applyBorder="1" applyAlignment="1">
      <alignment horizontal="center" wrapText="1"/>
    </xf>
    <xf numFmtId="0" fontId="21" fillId="0" borderId="13" xfId="0" applyFont="1" applyBorder="1" applyAlignment="1">
      <alignment horizontal="center" vertical="top" wrapText="1"/>
    </xf>
    <xf numFmtId="49" fontId="0" fillId="0" borderId="60" xfId="0" applyNumberFormat="1" applyFont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64" xfId="0" applyFont="1" applyBorder="1" applyAlignment="1">
      <alignment horizontal="center" wrapText="1"/>
    </xf>
    <xf numFmtId="49" fontId="2" fillId="0" borderId="52" xfId="0" applyNumberFormat="1" applyFont="1" applyBorder="1" applyAlignment="1">
      <alignment horizontal="center" wrapText="1"/>
    </xf>
    <xf numFmtId="49" fontId="2" fillId="0" borderId="39" xfId="0" applyNumberFormat="1" applyFont="1" applyBorder="1" applyAlignment="1">
      <alignment horizontal="center" wrapText="1"/>
    </xf>
    <xf numFmtId="49" fontId="2" fillId="0" borderId="44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72" fontId="0" fillId="0" borderId="16" xfId="0" applyNumberFormat="1" applyFont="1" applyBorder="1" applyAlignment="1">
      <alignment horizontal="center" wrapText="1"/>
    </xf>
    <xf numFmtId="2" fontId="0" fillId="0" borderId="35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2" fontId="13" fillId="0" borderId="10" xfId="0" applyNumberFormat="1" applyFont="1" applyBorder="1" applyAlignment="1">
      <alignment horizontal="center" wrapText="1"/>
    </xf>
    <xf numFmtId="2" fontId="13" fillId="0" borderId="11" xfId="0" applyNumberFormat="1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0" fontId="13" fillId="0" borderId="65" xfId="0" applyFont="1" applyBorder="1" applyAlignment="1">
      <alignment horizontal="center" wrapText="1"/>
    </xf>
    <xf numFmtId="49" fontId="0" fillId="0" borderId="66" xfId="0" applyNumberFormat="1" applyFont="1" applyBorder="1" applyAlignment="1">
      <alignment horizontal="center" wrapText="1"/>
    </xf>
    <xf numFmtId="0" fontId="0" fillId="0" borderId="67" xfId="0" applyBorder="1" applyAlignment="1">
      <alignment wrapText="1"/>
    </xf>
    <xf numFmtId="0" fontId="0" fillId="0" borderId="67" xfId="0" applyBorder="1" applyAlignment="1">
      <alignment horizontal="center" wrapText="1"/>
    </xf>
    <xf numFmtId="0" fontId="2" fillId="37" borderId="68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2" fillId="39" borderId="44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37" borderId="44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2" fillId="37" borderId="16" xfId="0" applyFont="1" applyFill="1" applyBorder="1" applyAlignment="1">
      <alignment horizontal="center" wrapText="1"/>
    </xf>
    <xf numFmtId="0" fontId="11" fillId="39" borderId="16" xfId="0" applyFont="1" applyFill="1" applyBorder="1" applyAlignment="1">
      <alignment horizontal="center" wrapText="1"/>
    </xf>
    <xf numFmtId="0" fontId="0" fillId="0" borderId="48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14" fillId="37" borderId="10" xfId="0" applyFont="1" applyFill="1" applyBorder="1" applyAlignment="1">
      <alignment horizontal="center" wrapText="1"/>
    </xf>
    <xf numFmtId="0" fontId="13" fillId="0" borderId="50" xfId="0" applyFont="1" applyBorder="1" applyAlignment="1">
      <alignment horizontal="center" wrapText="1"/>
    </xf>
    <xf numFmtId="0" fontId="14" fillId="37" borderId="50" xfId="0" applyFont="1" applyFill="1" applyBorder="1" applyAlignment="1">
      <alignment horizontal="center" wrapText="1"/>
    </xf>
    <xf numFmtId="0" fontId="14" fillId="37" borderId="46" xfId="0" applyFont="1" applyFill="1" applyBorder="1" applyAlignment="1">
      <alignment horizontal="center" wrapText="1"/>
    </xf>
    <xf numFmtId="0" fontId="14" fillId="39" borderId="46" xfId="0" applyFont="1" applyFill="1" applyBorder="1" applyAlignment="1">
      <alignment horizontal="center"/>
    </xf>
    <xf numFmtId="0" fontId="13" fillId="0" borderId="69" xfId="0" applyFont="1" applyBorder="1" applyAlignment="1">
      <alignment horizontal="center" wrapText="1"/>
    </xf>
    <xf numFmtId="9" fontId="13" fillId="0" borderId="53" xfId="0" applyNumberFormat="1" applyFont="1" applyBorder="1" applyAlignment="1">
      <alignment horizontal="center" wrapText="1"/>
    </xf>
    <xf numFmtId="169" fontId="13" fillId="0" borderId="50" xfId="0" applyNumberFormat="1" applyFont="1" applyFill="1" applyBorder="1" applyAlignment="1">
      <alignment horizontal="center" wrapText="1"/>
    </xf>
    <xf numFmtId="2" fontId="13" fillId="0" borderId="50" xfId="0" applyNumberFormat="1" applyFont="1" applyFill="1" applyBorder="1" applyAlignment="1">
      <alignment horizontal="center" wrapText="1"/>
    </xf>
    <xf numFmtId="0" fontId="14" fillId="37" borderId="70" xfId="0" applyFont="1" applyFill="1" applyBorder="1" applyAlignment="1">
      <alignment horizontal="center" wrapText="1"/>
    </xf>
    <xf numFmtId="0" fontId="14" fillId="37" borderId="17" xfId="0" applyFont="1" applyFill="1" applyBorder="1" applyAlignment="1">
      <alignment horizontal="center" wrapText="1"/>
    </xf>
    <xf numFmtId="0" fontId="14" fillId="37" borderId="25" xfId="0" applyFont="1" applyFill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2" fillId="0" borderId="56" xfId="0" applyFont="1" applyFill="1" applyBorder="1" applyAlignment="1">
      <alignment horizontal="center"/>
    </xf>
    <xf numFmtId="4" fontId="2" fillId="37" borderId="56" xfId="0" applyNumberFormat="1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/>
    </xf>
    <xf numFmtId="0" fontId="13" fillId="0" borderId="53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4" fillId="0" borderId="68" xfId="0" applyFont="1" applyBorder="1" applyAlignment="1">
      <alignment wrapText="1"/>
    </xf>
    <xf numFmtId="0" fontId="4" fillId="0" borderId="34" xfId="0" applyFont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1" fillId="33" borderId="24" xfId="0" applyFont="1" applyFill="1" applyBorder="1" applyAlignment="1">
      <alignment horizontal="center" wrapText="1"/>
    </xf>
    <xf numFmtId="0" fontId="19" fillId="33" borderId="38" xfId="0" applyFont="1" applyFill="1" applyBorder="1" applyAlignment="1">
      <alignment horizontal="center" wrapText="1"/>
    </xf>
    <xf numFmtId="0" fontId="11" fillId="33" borderId="25" xfId="0" applyFont="1" applyFill="1" applyBorder="1" applyAlignment="1">
      <alignment horizontal="center" wrapText="1"/>
    </xf>
    <xf numFmtId="0" fontId="11" fillId="33" borderId="32" xfId="0" applyFont="1" applyFill="1" applyBorder="1" applyAlignment="1">
      <alignment horizontal="center" wrapText="1"/>
    </xf>
    <xf numFmtId="172" fontId="11" fillId="33" borderId="34" xfId="0" applyNumberFormat="1" applyFont="1" applyFill="1" applyBorder="1" applyAlignment="1">
      <alignment horizontal="center" wrapText="1"/>
    </xf>
    <xf numFmtId="0" fontId="11" fillId="33" borderId="38" xfId="0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7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3" fillId="0" borderId="48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1" fillId="0" borderId="73" xfId="0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10" fontId="0" fillId="0" borderId="22" xfId="0" applyNumberFormat="1" applyFont="1" applyBorder="1" applyAlignment="1">
      <alignment horizontal="center" wrapText="1"/>
    </xf>
    <xf numFmtId="4" fontId="0" fillId="0" borderId="48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" fontId="0" fillId="0" borderId="30" xfId="0" applyNumberFormat="1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67" xfId="0" applyFont="1" applyBorder="1" applyAlignment="1">
      <alignment horizontal="center" wrapText="1"/>
    </xf>
    <xf numFmtId="0" fontId="0" fillId="0" borderId="74" xfId="0" applyFont="1" applyBorder="1" applyAlignment="1">
      <alignment horizontal="center" wrapText="1"/>
    </xf>
    <xf numFmtId="0" fontId="0" fillId="0" borderId="64" xfId="0" applyFont="1" applyBorder="1" applyAlignment="1">
      <alignment horizontal="center" wrapText="1"/>
    </xf>
    <xf numFmtId="0" fontId="0" fillId="0" borderId="75" xfId="0" applyFont="1" applyBorder="1" applyAlignment="1">
      <alignment horizontal="center" wrapText="1"/>
    </xf>
    <xf numFmtId="0" fontId="15" fillId="0" borderId="59" xfId="0" applyFont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0" fontId="13" fillId="0" borderId="27" xfId="0" applyFont="1" applyBorder="1" applyAlignment="1">
      <alignment horizontal="center" wrapText="1"/>
    </xf>
    <xf numFmtId="0" fontId="13" fillId="0" borderId="58" xfId="0" applyFont="1" applyBorder="1" applyAlignment="1">
      <alignment horizontal="center" wrapText="1"/>
    </xf>
    <xf numFmtId="49" fontId="2" fillId="0" borderId="51" xfId="0" applyNumberFormat="1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49" fontId="0" fillId="0" borderId="49" xfId="0" applyNumberFormat="1" applyFont="1" applyFill="1" applyBorder="1" applyAlignment="1">
      <alignment horizontal="center" wrapText="1"/>
    </xf>
    <xf numFmtId="0" fontId="21" fillId="0" borderId="78" xfId="0" applyFont="1" applyFill="1" applyBorder="1" applyAlignment="1">
      <alignment wrapText="1"/>
    </xf>
    <xf numFmtId="0" fontId="8" fillId="0" borderId="5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3" fillId="0" borderId="58" xfId="0" applyFont="1" applyFill="1" applyBorder="1" applyAlignment="1">
      <alignment horizontal="center" wrapText="1"/>
    </xf>
    <xf numFmtId="0" fontId="13" fillId="0" borderId="79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/>
    </xf>
    <xf numFmtId="172" fontId="11" fillId="0" borderId="29" xfId="0" applyNumberFormat="1" applyFont="1" applyFill="1" applyBorder="1" applyAlignment="1">
      <alignment horizontal="center" wrapText="1"/>
    </xf>
    <xf numFmtId="172" fontId="2" fillId="34" borderId="16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28" xfId="0" applyNumberFormat="1" applyFont="1" applyBorder="1" applyAlignment="1">
      <alignment horizontal="center"/>
    </xf>
    <xf numFmtId="0" fontId="22" fillId="0" borderId="13" xfId="0" applyFont="1" applyFill="1" applyBorder="1" applyAlignment="1">
      <alignment wrapText="1"/>
    </xf>
    <xf numFmtId="0" fontId="22" fillId="0" borderId="13" xfId="0" applyFont="1" applyFill="1" applyBorder="1" applyAlignment="1">
      <alignment horizontal="center" wrapText="1"/>
    </xf>
    <xf numFmtId="2" fontId="22" fillId="0" borderId="13" xfId="0" applyNumberFormat="1" applyFont="1" applyFill="1" applyBorder="1" applyAlignment="1">
      <alignment horizontal="center" wrapText="1"/>
    </xf>
    <xf numFmtId="1" fontId="22" fillId="0" borderId="27" xfId="0" applyNumberFormat="1" applyFont="1" applyFill="1" applyBorder="1" applyAlignment="1">
      <alignment horizontal="center" wrapText="1"/>
    </xf>
    <xf numFmtId="4" fontId="22" fillId="0" borderId="30" xfId="0" applyNumberFormat="1" applyFont="1" applyFill="1" applyBorder="1" applyAlignment="1">
      <alignment horizontal="center"/>
    </xf>
    <xf numFmtId="4" fontId="26" fillId="0" borderId="37" xfId="0" applyNumberFormat="1" applyFont="1" applyFill="1" applyBorder="1" applyAlignment="1">
      <alignment horizontal="center"/>
    </xf>
    <xf numFmtId="4" fontId="28" fillId="0" borderId="13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2" fillId="0" borderId="27" xfId="0" applyFont="1" applyFill="1" applyBorder="1" applyAlignment="1">
      <alignment/>
    </xf>
    <xf numFmtId="4" fontId="21" fillId="0" borderId="43" xfId="0" applyNumberFormat="1" applyFont="1" applyBorder="1" applyAlignment="1">
      <alignment horizontal="center" wrapText="1"/>
    </xf>
    <xf numFmtId="0" fontId="27" fillId="0" borderId="3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2" fillId="37" borderId="17" xfId="0" applyFont="1" applyFill="1" applyBorder="1" applyAlignment="1">
      <alignment wrapText="1"/>
    </xf>
    <xf numFmtId="0" fontId="22" fillId="37" borderId="17" xfId="0" applyFont="1" applyFill="1" applyBorder="1" applyAlignment="1">
      <alignment horizontal="center" wrapText="1"/>
    </xf>
    <xf numFmtId="0" fontId="22" fillId="37" borderId="41" xfId="0" applyFont="1" applyFill="1" applyBorder="1" applyAlignment="1">
      <alignment horizontal="center" wrapText="1"/>
    </xf>
    <xf numFmtId="4" fontId="22" fillId="37" borderId="39" xfId="0" applyNumberFormat="1" applyFont="1" applyFill="1" applyBorder="1" applyAlignment="1">
      <alignment horizontal="center" wrapText="1"/>
    </xf>
    <xf numFmtId="4" fontId="22" fillId="37" borderId="17" xfId="0" applyNumberFormat="1" applyFont="1" applyFill="1" applyBorder="1" applyAlignment="1">
      <alignment horizontal="center" wrapText="1"/>
    </xf>
    <xf numFmtId="4" fontId="22" fillId="37" borderId="41" xfId="0" applyNumberFormat="1" applyFont="1" applyFill="1" applyBorder="1" applyAlignment="1">
      <alignment horizontal="center" wrapText="1"/>
    </xf>
    <xf numFmtId="0" fontId="21" fillId="37" borderId="44" xfId="0" applyFont="1" applyFill="1" applyBorder="1" applyAlignment="1">
      <alignment horizontal="center" wrapText="1"/>
    </xf>
    <xf numFmtId="4" fontId="23" fillId="37" borderId="44" xfId="0" applyNumberFormat="1" applyFont="1" applyFill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4" fontId="22" fillId="0" borderId="30" xfId="0" applyNumberFormat="1" applyFont="1" applyBorder="1" applyAlignment="1">
      <alignment horizontal="center" wrapText="1"/>
    </xf>
    <xf numFmtId="4" fontId="26" fillId="0" borderId="37" xfId="0" applyNumberFormat="1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2" fillId="0" borderId="27" xfId="0" applyFont="1" applyBorder="1" applyAlignment="1">
      <alignment wrapText="1"/>
    </xf>
    <xf numFmtId="0" fontId="21" fillId="0" borderId="13" xfId="0" applyFont="1" applyFill="1" applyBorder="1" applyAlignment="1">
      <alignment horizontal="center" wrapText="1"/>
    </xf>
    <xf numFmtId="0" fontId="22" fillId="0" borderId="3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4" fontId="21" fillId="0" borderId="16" xfId="0" applyNumberFormat="1" applyFont="1" applyBorder="1" applyAlignment="1">
      <alignment horizontal="center" wrapText="1"/>
    </xf>
    <xf numFmtId="4" fontId="29" fillId="0" borderId="35" xfId="0" applyNumberFormat="1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2" fontId="22" fillId="37" borderId="17" xfId="0" applyNumberFormat="1" applyFont="1" applyFill="1" applyBorder="1" applyAlignment="1">
      <alignment horizontal="center" wrapText="1"/>
    </xf>
    <xf numFmtId="4" fontId="23" fillId="37" borderId="39" xfId="0" applyNumberFormat="1" applyFont="1" applyFill="1" applyBorder="1" applyAlignment="1">
      <alignment horizontal="center" wrapText="1"/>
    </xf>
    <xf numFmtId="4" fontId="23" fillId="37" borderId="17" xfId="0" applyNumberFormat="1" applyFont="1" applyFill="1" applyBorder="1" applyAlignment="1">
      <alignment horizontal="center" wrapText="1"/>
    </xf>
    <xf numFmtId="4" fontId="23" fillId="37" borderId="41" xfId="0" applyNumberFormat="1" applyFont="1" applyFill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2" fontId="21" fillId="0" borderId="13" xfId="0" applyNumberFormat="1" applyFont="1" applyBorder="1" applyAlignment="1">
      <alignment horizontal="center" wrapText="1"/>
    </xf>
    <xf numFmtId="1" fontId="21" fillId="0" borderId="27" xfId="0" applyNumberFormat="1" applyFont="1" applyBorder="1" applyAlignment="1">
      <alignment horizontal="center" wrapText="1"/>
    </xf>
    <xf numFmtId="4" fontId="29" fillId="0" borderId="37" xfId="0" applyNumberFormat="1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1" fillId="0" borderId="27" xfId="0" applyFont="1" applyBorder="1" applyAlignment="1">
      <alignment/>
    </xf>
    <xf numFmtId="2" fontId="21" fillId="0" borderId="30" xfId="0" applyNumberFormat="1" applyFont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4" fontId="21" fillId="0" borderId="16" xfId="0" applyNumberFormat="1" applyFont="1" applyFill="1" applyBorder="1" applyAlignment="1">
      <alignment horizontal="center" wrapText="1"/>
    </xf>
    <xf numFmtId="4" fontId="29" fillId="0" borderId="35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21" fillId="0" borderId="22" xfId="0" applyFont="1" applyFill="1" applyBorder="1" applyAlignment="1">
      <alignment wrapText="1"/>
    </xf>
    <xf numFmtId="4" fontId="29" fillId="0" borderId="40" xfId="0" applyNumberFormat="1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1" fillId="0" borderId="47" xfId="0" applyFont="1" applyFill="1" applyBorder="1" applyAlignment="1">
      <alignment/>
    </xf>
    <xf numFmtId="0" fontId="21" fillId="0" borderId="13" xfId="0" applyFont="1" applyFill="1" applyBorder="1" applyAlignment="1">
      <alignment wrapText="1"/>
    </xf>
    <xf numFmtId="0" fontId="29" fillId="0" borderId="13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31" fillId="0" borderId="11" xfId="0" applyFont="1" applyFill="1" applyBorder="1" applyAlignment="1">
      <alignment horizontal="center" wrapText="1"/>
    </xf>
    <xf numFmtId="4" fontId="21" fillId="0" borderId="64" xfId="0" applyNumberFormat="1" applyFont="1" applyFill="1" applyBorder="1" applyAlignment="1">
      <alignment horizontal="center" wrapText="1"/>
    </xf>
    <xf numFmtId="0" fontId="21" fillId="0" borderId="28" xfId="0" applyFont="1" applyFill="1" applyBorder="1" applyAlignment="1">
      <alignment wrapText="1"/>
    </xf>
    <xf numFmtId="0" fontId="21" fillId="33" borderId="44" xfId="0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4" fontId="26" fillId="0" borderId="78" xfId="0" applyNumberFormat="1" applyFont="1" applyFill="1" applyBorder="1" applyAlignment="1">
      <alignment horizontal="center" wrapText="1"/>
    </xf>
    <xf numFmtId="4" fontId="28" fillId="0" borderId="14" xfId="0" applyNumberFormat="1" applyFont="1" applyFill="1" applyBorder="1" applyAlignment="1">
      <alignment horizontal="center" wrapText="1"/>
    </xf>
    <xf numFmtId="4" fontId="26" fillId="0" borderId="14" xfId="0" applyNumberFormat="1" applyFont="1" applyFill="1" applyBorder="1" applyAlignment="1">
      <alignment horizontal="center" wrapText="1"/>
    </xf>
    <xf numFmtId="0" fontId="22" fillId="0" borderId="31" xfId="0" applyFont="1" applyFill="1" applyBorder="1" applyAlignment="1">
      <alignment wrapText="1"/>
    </xf>
    <xf numFmtId="4" fontId="26" fillId="0" borderId="37" xfId="0" applyNumberFormat="1" applyFont="1" applyFill="1" applyBorder="1" applyAlignment="1">
      <alignment horizontal="center" wrapText="1"/>
    </xf>
    <xf numFmtId="4" fontId="28" fillId="0" borderId="13" xfId="0" applyNumberFormat="1" applyFont="1" applyFill="1" applyBorder="1" applyAlignment="1">
      <alignment horizontal="center" wrapText="1"/>
    </xf>
    <xf numFmtId="4" fontId="26" fillId="0" borderId="13" xfId="0" applyNumberFormat="1" applyFont="1" applyFill="1" applyBorder="1" applyAlignment="1">
      <alignment horizontal="center" wrapText="1"/>
    </xf>
    <xf numFmtId="4" fontId="26" fillId="0" borderId="35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9" fillId="0" borderId="22" xfId="0" applyFont="1" applyFill="1" applyBorder="1" applyAlignment="1">
      <alignment horizontal="center" wrapText="1"/>
    </xf>
    <xf numFmtId="4" fontId="26" fillId="0" borderId="36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32" fillId="33" borderId="39" xfId="0" applyFont="1" applyFill="1" applyBorder="1" applyAlignment="1">
      <alignment wrapText="1"/>
    </xf>
    <xf numFmtId="0" fontId="22" fillId="33" borderId="17" xfId="0" applyFont="1" applyFill="1" applyBorder="1" applyAlignment="1">
      <alignment horizontal="center"/>
    </xf>
    <xf numFmtId="0" fontId="22" fillId="33" borderId="41" xfId="0" applyFont="1" applyFill="1" applyBorder="1" applyAlignment="1">
      <alignment horizontal="center"/>
    </xf>
    <xf numFmtId="4" fontId="22" fillId="33" borderId="39" xfId="0" applyNumberFormat="1" applyFont="1" applyFill="1" applyBorder="1" applyAlignment="1">
      <alignment horizontal="center"/>
    </xf>
    <xf numFmtId="4" fontId="22" fillId="33" borderId="17" xfId="0" applyNumberFormat="1" applyFont="1" applyFill="1" applyBorder="1" applyAlignment="1">
      <alignment horizontal="center"/>
    </xf>
    <xf numFmtId="4" fontId="22" fillId="33" borderId="41" xfId="0" applyNumberFormat="1" applyFont="1" applyFill="1" applyBorder="1" applyAlignment="1">
      <alignment horizontal="center"/>
    </xf>
    <xf numFmtId="4" fontId="23" fillId="33" borderId="44" xfId="0" applyNumberFormat="1" applyFont="1" applyFill="1" applyBorder="1" applyAlignment="1">
      <alignment horizontal="center"/>
    </xf>
    <xf numFmtId="0" fontId="29" fillId="0" borderId="13" xfId="0" applyFont="1" applyBorder="1" applyAlignment="1">
      <alignment wrapText="1"/>
    </xf>
    <xf numFmtId="0" fontId="29" fillId="0" borderId="37" xfId="0" applyFont="1" applyBorder="1" applyAlignment="1">
      <alignment horizontal="center" wrapText="1"/>
    </xf>
    <xf numFmtId="4" fontId="30" fillId="0" borderId="13" xfId="0" applyNumberFormat="1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21" fillId="0" borderId="27" xfId="0" applyFont="1" applyBorder="1" applyAlignment="1">
      <alignment wrapText="1"/>
    </xf>
    <xf numFmtId="0" fontId="21" fillId="0" borderId="21" xfId="0" applyFont="1" applyBorder="1" applyAlignment="1">
      <alignment horizontal="center" wrapText="1"/>
    </xf>
    <xf numFmtId="0" fontId="21" fillId="0" borderId="58" xfId="0" applyFont="1" applyBorder="1" applyAlignment="1">
      <alignment horizontal="center" wrapText="1"/>
    </xf>
    <xf numFmtId="0" fontId="26" fillId="0" borderId="67" xfId="0" applyFont="1" applyBorder="1" applyAlignment="1">
      <alignment wrapText="1"/>
    </xf>
    <xf numFmtId="0" fontId="22" fillId="0" borderId="67" xfId="0" applyFont="1" applyBorder="1" applyAlignment="1">
      <alignment horizontal="center" wrapText="1"/>
    </xf>
    <xf numFmtId="0" fontId="22" fillId="0" borderId="67" xfId="0" applyFont="1" applyBorder="1" applyAlignment="1">
      <alignment/>
    </xf>
    <xf numFmtId="169" fontId="22" fillId="0" borderId="67" xfId="0" applyNumberFormat="1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2" fontId="22" fillId="0" borderId="64" xfId="0" applyNumberFormat="1" applyFont="1" applyBorder="1" applyAlignment="1">
      <alignment horizontal="center"/>
    </xf>
    <xf numFmtId="2" fontId="26" fillId="0" borderId="75" xfId="0" applyNumberFormat="1" applyFont="1" applyBorder="1" applyAlignment="1">
      <alignment horizontal="center"/>
    </xf>
    <xf numFmtId="0" fontId="28" fillId="0" borderId="67" xfId="0" applyFont="1" applyBorder="1" applyAlignment="1">
      <alignment horizontal="center"/>
    </xf>
    <xf numFmtId="0" fontId="26" fillId="0" borderId="67" xfId="0" applyFont="1" applyBorder="1" applyAlignment="1">
      <alignment horizontal="center"/>
    </xf>
    <xf numFmtId="0" fontId="22" fillId="0" borderId="74" xfId="0" applyFont="1" applyBorder="1" applyAlignment="1">
      <alignment/>
    </xf>
    <xf numFmtId="0" fontId="22" fillId="0" borderId="66" xfId="0" applyFont="1" applyBorder="1" applyAlignment="1">
      <alignment horizontal="center"/>
    </xf>
    <xf numFmtId="0" fontId="22" fillId="0" borderId="77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7" fillId="37" borderId="39" xfId="0" applyFont="1" applyFill="1" applyBorder="1" applyAlignment="1">
      <alignment wrapText="1"/>
    </xf>
    <xf numFmtId="0" fontId="22" fillId="37" borderId="41" xfId="0" applyFont="1" applyFill="1" applyBorder="1" applyAlignment="1">
      <alignment wrapText="1"/>
    </xf>
    <xf numFmtId="0" fontId="0" fillId="0" borderId="77" xfId="0" applyFont="1" applyFill="1" applyBorder="1" applyAlignment="1">
      <alignment horizontal="center" wrapText="1"/>
    </xf>
    <xf numFmtId="178" fontId="13" fillId="0" borderId="13" xfId="0" applyNumberFormat="1" applyFont="1" applyBorder="1" applyAlignment="1">
      <alignment horizontal="center" wrapText="1"/>
    </xf>
    <xf numFmtId="168" fontId="13" fillId="0" borderId="10" xfId="0" applyNumberFormat="1" applyFont="1" applyFill="1" applyBorder="1" applyAlignment="1">
      <alignment horizontal="center" wrapText="1"/>
    </xf>
    <xf numFmtId="2" fontId="4" fillId="0" borderId="73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168" fontId="0" fillId="0" borderId="71" xfId="0" applyNumberFormat="1" applyFont="1" applyBorder="1" applyAlignment="1">
      <alignment horizontal="center" wrapText="1"/>
    </xf>
    <xf numFmtId="4" fontId="21" fillId="0" borderId="29" xfId="0" applyNumberFormat="1" applyFont="1" applyFill="1" applyBorder="1" applyAlignment="1">
      <alignment horizontal="center" wrapText="1"/>
    </xf>
    <xf numFmtId="4" fontId="21" fillId="0" borderId="37" xfId="0" applyNumberFormat="1" applyFont="1" applyFill="1" applyBorder="1" applyAlignment="1">
      <alignment horizontal="center" wrapText="1"/>
    </xf>
    <xf numFmtId="0" fontId="33" fillId="0" borderId="13" xfId="0" applyFont="1" applyFill="1" applyBorder="1" applyAlignment="1">
      <alignment horizontal="center" wrapText="1"/>
    </xf>
    <xf numFmtId="4" fontId="21" fillId="0" borderId="35" xfId="0" applyNumberFormat="1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4" fontId="21" fillId="0" borderId="36" xfId="0" applyNumberFormat="1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4" fontId="32" fillId="37" borderId="17" xfId="0" applyNumberFormat="1" applyFont="1" applyFill="1" applyBorder="1" applyAlignment="1">
      <alignment horizontal="center" wrapText="1"/>
    </xf>
    <xf numFmtId="3" fontId="21" fillId="0" borderId="29" xfId="0" applyNumberFormat="1" applyFont="1" applyFill="1" applyBorder="1" applyAlignment="1">
      <alignment horizontal="center" wrapText="1"/>
    </xf>
    <xf numFmtId="3" fontId="21" fillId="0" borderId="16" xfId="0" applyNumberFormat="1" applyFont="1" applyFill="1" applyBorder="1" applyAlignment="1">
      <alignment horizontal="center" wrapText="1"/>
    </xf>
    <xf numFmtId="0" fontId="21" fillId="0" borderId="42" xfId="0" applyFont="1" applyFill="1" applyBorder="1" applyAlignment="1">
      <alignment horizontal="center" wrapText="1"/>
    </xf>
    <xf numFmtId="0" fontId="21" fillId="0" borderId="30" xfId="0" applyFont="1" applyFill="1" applyBorder="1" applyAlignment="1">
      <alignment horizontal="center" wrapText="1"/>
    </xf>
    <xf numFmtId="168" fontId="13" fillId="0" borderId="10" xfId="0" applyNumberFormat="1" applyFont="1" applyBorder="1" applyAlignment="1">
      <alignment horizontal="center" wrapText="1"/>
    </xf>
    <xf numFmtId="0" fontId="0" fillId="0" borderId="56" xfId="0" applyFont="1" applyBorder="1" applyAlignment="1">
      <alignment horizontal="center" wrapText="1"/>
    </xf>
    <xf numFmtId="168" fontId="0" fillId="0" borderId="54" xfId="0" applyNumberFormat="1" applyFont="1" applyBorder="1" applyAlignment="1">
      <alignment horizontal="center" wrapText="1"/>
    </xf>
    <xf numFmtId="4" fontId="0" fillId="0" borderId="71" xfId="0" applyNumberFormat="1" applyFont="1" applyBorder="1" applyAlignment="1">
      <alignment horizontal="center" wrapText="1"/>
    </xf>
    <xf numFmtId="4" fontId="0" fillId="0" borderId="56" xfId="0" applyNumberFormat="1" applyFont="1" applyBorder="1" applyAlignment="1">
      <alignment horizontal="center" wrapText="1"/>
    </xf>
    <xf numFmtId="2" fontId="0" fillId="0" borderId="54" xfId="0" applyNumberFormat="1" applyFont="1" applyBorder="1" applyAlignment="1">
      <alignment horizontal="center" wrapText="1"/>
    </xf>
    <xf numFmtId="2" fontId="2" fillId="37" borderId="55" xfId="0" applyNumberFormat="1" applyFont="1" applyFill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0" fontId="0" fillId="0" borderId="56" xfId="0" applyFont="1" applyFill="1" applyBorder="1" applyAlignment="1">
      <alignment horizontal="center" wrapText="1"/>
    </xf>
    <xf numFmtId="0" fontId="0" fillId="0" borderId="56" xfId="0" applyFont="1" applyFill="1" applyBorder="1" applyAlignment="1">
      <alignment horizontal="center"/>
    </xf>
    <xf numFmtId="4" fontId="0" fillId="0" borderId="71" xfId="0" applyNumberFormat="1" applyFont="1" applyBorder="1" applyAlignment="1">
      <alignment horizontal="center"/>
    </xf>
    <xf numFmtId="4" fontId="0" fillId="0" borderId="54" xfId="0" applyNumberFormat="1" applyFont="1" applyBorder="1" applyAlignment="1">
      <alignment horizontal="center"/>
    </xf>
    <xf numFmtId="4" fontId="0" fillId="0" borderId="56" xfId="0" applyNumberFormat="1" applyFont="1" applyFill="1" applyBorder="1" applyAlignment="1">
      <alignment horizontal="center"/>
    </xf>
    <xf numFmtId="2" fontId="0" fillId="0" borderId="56" xfId="0" applyNumberFormat="1" applyFont="1" applyFill="1" applyBorder="1" applyAlignment="1">
      <alignment horizontal="center"/>
    </xf>
    <xf numFmtId="4" fontId="2" fillId="37" borderId="55" xfId="0" applyNumberFormat="1" applyFont="1" applyFill="1" applyBorder="1" applyAlignment="1">
      <alignment horizontal="center" wrapText="1"/>
    </xf>
    <xf numFmtId="0" fontId="2" fillId="39" borderId="56" xfId="0" applyFont="1" applyFill="1" applyBorder="1" applyAlignment="1">
      <alignment horizontal="center" wrapText="1"/>
    </xf>
    <xf numFmtId="4" fontId="2" fillId="37" borderId="55" xfId="0" applyNumberFormat="1" applyFont="1" applyFill="1" applyBorder="1" applyAlignment="1">
      <alignment horizontal="center"/>
    </xf>
    <xf numFmtId="2" fontId="0" fillId="0" borderId="71" xfId="0" applyNumberFormat="1" applyFont="1" applyBorder="1" applyAlignment="1">
      <alignment horizontal="center" wrapText="1"/>
    </xf>
    <xf numFmtId="4" fontId="2" fillId="37" borderId="73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0" fontId="14" fillId="0" borderId="69" xfId="0" applyFont="1" applyBorder="1" applyAlignment="1">
      <alignment horizontal="center" wrapText="1"/>
    </xf>
    <xf numFmtId="0" fontId="3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39" borderId="46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 wrapText="1"/>
    </xf>
    <xf numFmtId="9" fontId="13" fillId="0" borderId="50" xfId="0" applyNumberFormat="1" applyFont="1" applyBorder="1" applyAlignment="1">
      <alignment horizontal="center" wrapText="1"/>
    </xf>
    <xf numFmtId="169" fontId="13" fillId="0" borderId="50" xfId="0" applyNumberFormat="1" applyFont="1" applyBorder="1" applyAlignment="1">
      <alignment horizontal="center" wrapText="1"/>
    </xf>
    <xf numFmtId="2" fontId="13" fillId="0" borderId="50" xfId="0" applyNumberFormat="1" applyFont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0" fontId="14" fillId="39" borderId="50" xfId="0" applyFont="1" applyFill="1" applyBorder="1" applyAlignment="1">
      <alignment horizontal="center" wrapText="1"/>
    </xf>
    <xf numFmtId="0" fontId="14" fillId="39" borderId="10" xfId="0" applyFont="1" applyFill="1" applyBorder="1" applyAlignment="1">
      <alignment horizontal="center" wrapText="1"/>
    </xf>
    <xf numFmtId="168" fontId="14" fillId="39" borderId="10" xfId="0" applyNumberFormat="1" applyFont="1" applyFill="1" applyBorder="1" applyAlignment="1">
      <alignment horizontal="center" wrapText="1"/>
    </xf>
    <xf numFmtId="2" fontId="13" fillId="0" borderId="53" xfId="0" applyNumberFormat="1" applyFont="1" applyBorder="1" applyAlignment="1">
      <alignment horizontal="center" wrapText="1"/>
    </xf>
    <xf numFmtId="0" fontId="13" fillId="0" borderId="53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168" fontId="13" fillId="0" borderId="10" xfId="0" applyNumberFormat="1" applyFont="1" applyBorder="1" applyAlignment="1">
      <alignment horizontal="center"/>
    </xf>
    <xf numFmtId="168" fontId="2" fillId="0" borderId="37" xfId="0" applyNumberFormat="1" applyFont="1" applyFill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2" fillId="37" borderId="15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4" fontId="2" fillId="37" borderId="16" xfId="0" applyNumberFormat="1" applyFont="1" applyFill="1" applyBorder="1" applyAlignment="1">
      <alignment horizontal="center" wrapText="1"/>
    </xf>
    <xf numFmtId="2" fontId="2" fillId="37" borderId="56" xfId="0" applyNumberFormat="1" applyFont="1" applyFill="1" applyBorder="1" applyAlignment="1">
      <alignment horizontal="center" wrapText="1"/>
    </xf>
    <xf numFmtId="170" fontId="13" fillId="0" borderId="10" xfId="0" applyNumberFormat="1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27" fillId="0" borderId="27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2" fontId="31" fillId="0" borderId="10" xfId="0" applyNumberFormat="1" applyFont="1" applyFill="1" applyBorder="1" applyAlignment="1">
      <alignment horizontal="center" wrapText="1"/>
    </xf>
    <xf numFmtId="0" fontId="31" fillId="0" borderId="12" xfId="0" applyFont="1" applyFill="1" applyBorder="1" applyAlignment="1">
      <alignment horizontal="center" wrapText="1"/>
    </xf>
    <xf numFmtId="0" fontId="31" fillId="0" borderId="50" xfId="0" applyFont="1" applyFill="1" applyBorder="1" applyAlignment="1">
      <alignment horizontal="center" wrapText="1"/>
    </xf>
    <xf numFmtId="168" fontId="31" fillId="0" borderId="10" xfId="0" applyNumberFormat="1" applyFont="1" applyFill="1" applyBorder="1" applyAlignment="1">
      <alignment horizontal="center" wrapText="1"/>
    </xf>
    <xf numFmtId="2" fontId="31" fillId="0" borderId="22" xfId="0" applyNumberFormat="1" applyFont="1" applyFill="1" applyBorder="1" applyAlignment="1">
      <alignment horizontal="center" wrapText="1"/>
    </xf>
    <xf numFmtId="0" fontId="31" fillId="0" borderId="22" xfId="0" applyFont="1" applyFill="1" applyBorder="1" applyAlignment="1">
      <alignment horizontal="center" wrapText="1"/>
    </xf>
    <xf numFmtId="0" fontId="31" fillId="0" borderId="47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wrapText="1"/>
    </xf>
    <xf numFmtId="0" fontId="31" fillId="0" borderId="28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31" xfId="0" applyFont="1" applyFill="1" applyBorder="1" applyAlignment="1">
      <alignment horizontal="center" wrapText="1"/>
    </xf>
    <xf numFmtId="0" fontId="27" fillId="0" borderId="27" xfId="0" applyFont="1" applyFill="1" applyBorder="1" applyAlignment="1">
      <alignment horizontal="center" wrapText="1"/>
    </xf>
    <xf numFmtId="0" fontId="31" fillId="0" borderId="13" xfId="0" applyFont="1" applyFill="1" applyBorder="1" applyAlignment="1">
      <alignment horizontal="center" wrapText="1"/>
    </xf>
    <xf numFmtId="0" fontId="31" fillId="0" borderId="27" xfId="0" applyFont="1" applyFill="1" applyBorder="1" applyAlignment="1">
      <alignment horizontal="center" wrapText="1"/>
    </xf>
    <xf numFmtId="2" fontId="21" fillId="0" borderId="16" xfId="0" applyNumberFormat="1" applyFont="1" applyFill="1" applyBorder="1" applyAlignment="1">
      <alignment horizontal="center" wrapText="1"/>
    </xf>
    <xf numFmtId="3" fontId="23" fillId="37" borderId="44" xfId="0" applyNumberFormat="1" applyFont="1" applyFill="1" applyBorder="1" applyAlignment="1">
      <alignment horizontal="center" wrapText="1"/>
    </xf>
    <xf numFmtId="0" fontId="23" fillId="37" borderId="44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22" fillId="0" borderId="57" xfId="0" applyFont="1" applyBorder="1" applyAlignment="1">
      <alignment horizontal="center" vertical="top" wrapText="1"/>
    </xf>
    <xf numFmtId="0" fontId="12" fillId="37" borderId="4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4" fontId="0" fillId="33" borderId="16" xfId="0" applyNumberFormat="1" applyFont="1" applyFill="1" applyBorder="1" applyAlignment="1">
      <alignment horizontal="center" wrapText="1"/>
    </xf>
    <xf numFmtId="168" fontId="0" fillId="33" borderId="71" xfId="0" applyNumberFormat="1" applyFont="1" applyFill="1" applyBorder="1" applyAlignment="1">
      <alignment horizontal="center" wrapText="1"/>
    </xf>
    <xf numFmtId="0" fontId="21" fillId="33" borderId="42" xfId="0" applyFont="1" applyFill="1" applyBorder="1" applyAlignment="1">
      <alignment horizontal="center" wrapText="1"/>
    </xf>
    <xf numFmtId="2" fontId="13" fillId="41" borderId="10" xfId="0" applyNumberFormat="1" applyFont="1" applyFill="1" applyBorder="1" applyAlignment="1">
      <alignment horizontal="center" wrapText="1"/>
    </xf>
    <xf numFmtId="168" fontId="21" fillId="0" borderId="16" xfId="0" applyNumberFormat="1" applyFont="1" applyFill="1" applyBorder="1" applyAlignment="1">
      <alignment horizontal="center" wrapText="1"/>
    </xf>
    <xf numFmtId="167" fontId="21" fillId="0" borderId="30" xfId="0" applyNumberFormat="1" applyFont="1" applyFill="1" applyBorder="1" applyAlignment="1">
      <alignment horizontal="center" wrapText="1"/>
    </xf>
    <xf numFmtId="2" fontId="23" fillId="37" borderId="44" xfId="0" applyNumberFormat="1" applyFont="1" applyFill="1" applyBorder="1" applyAlignment="1">
      <alignment horizontal="center" wrapText="1"/>
    </xf>
    <xf numFmtId="2" fontId="13" fillId="0" borderId="69" xfId="0" applyNumberFormat="1" applyFont="1" applyBorder="1" applyAlignment="1">
      <alignment horizontal="center" wrapText="1"/>
    </xf>
    <xf numFmtId="0" fontId="0" fillId="0" borderId="0" xfId="0" applyAlignment="1">
      <alignment vertical="distributed"/>
    </xf>
    <xf numFmtId="0" fontId="35" fillId="0" borderId="0" xfId="0" applyFont="1" applyAlignment="1">
      <alignment/>
    </xf>
    <xf numFmtId="0" fontId="36" fillId="41" borderId="10" xfId="0" applyFont="1" applyFill="1" applyBorder="1" applyAlignment="1">
      <alignment horizontal="center" wrapText="1"/>
    </xf>
    <xf numFmtId="0" fontId="0" fillId="0" borderId="10" xfId="0" applyBorder="1" applyAlignment="1">
      <alignment vertical="top"/>
    </xf>
    <xf numFmtId="0" fontId="0" fillId="41" borderId="10" xfId="0" applyFill="1" applyBorder="1" applyAlignment="1">
      <alignment/>
    </xf>
    <xf numFmtId="6" fontId="0" fillId="0" borderId="0" xfId="0" applyNumberFormat="1" applyAlignment="1">
      <alignment/>
    </xf>
    <xf numFmtId="168" fontId="0" fillId="41" borderId="10" xfId="0" applyNumberFormat="1" applyFill="1" applyBorder="1" applyAlignment="1">
      <alignment/>
    </xf>
    <xf numFmtId="2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 vertical="distributed"/>
    </xf>
    <xf numFmtId="0" fontId="0" fillId="42" borderId="10" xfId="0" applyFill="1" applyBorder="1" applyAlignment="1">
      <alignment/>
    </xf>
    <xf numFmtId="0" fontId="0" fillId="41" borderId="10" xfId="0" applyFont="1" applyFill="1" applyBorder="1" applyAlignment="1">
      <alignment horizontal="center" wrapText="1"/>
    </xf>
    <xf numFmtId="170" fontId="13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distributed"/>
    </xf>
    <xf numFmtId="4" fontId="21" fillId="36" borderId="3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vertical="distributed"/>
    </xf>
    <xf numFmtId="0" fontId="0" fillId="0" borderId="10" xfId="0" applyFill="1" applyBorder="1" applyAlignment="1">
      <alignment vertical="distributed"/>
    </xf>
    <xf numFmtId="0" fontId="0" fillId="0" borderId="10" xfId="0" applyBorder="1" applyAlignment="1">
      <alignment vertical="distributed"/>
    </xf>
    <xf numFmtId="0" fontId="0" fillId="33" borderId="10" xfId="0" applyFill="1" applyBorder="1" applyAlignment="1">
      <alignment vertical="distributed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68" fontId="0" fillId="33" borderId="10" xfId="0" applyNumberFormat="1" applyFill="1" applyBorder="1" applyAlignment="1">
      <alignment/>
    </xf>
    <xf numFmtId="0" fontId="7" fillId="0" borderId="10" xfId="0" applyFont="1" applyFill="1" applyBorder="1" applyAlignment="1">
      <alignment vertical="distributed"/>
    </xf>
    <xf numFmtId="168" fontId="0" fillId="0" borderId="10" xfId="0" applyNumberFormat="1" applyBorder="1" applyAlignment="1">
      <alignment/>
    </xf>
    <xf numFmtId="0" fontId="1" fillId="0" borderId="0" xfId="0" applyFont="1" applyAlignment="1">
      <alignment vertical="distributed"/>
    </xf>
    <xf numFmtId="4" fontId="21" fillId="36" borderId="16" xfId="0" applyNumberFormat="1" applyFont="1" applyFill="1" applyBorder="1" applyAlignment="1">
      <alignment horizontal="center" wrapText="1"/>
    </xf>
    <xf numFmtId="0" fontId="37" fillId="0" borderId="10" xfId="0" applyFont="1" applyBorder="1" applyAlignment="1">
      <alignment horizontal="center" vertical="distributed" wrapText="1"/>
    </xf>
    <xf numFmtId="4" fontId="0" fillId="0" borderId="42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37" fillId="0" borderId="0" xfId="0" applyFont="1" applyAlignment="1">
      <alignment vertical="distributed" wrapText="1"/>
    </xf>
    <xf numFmtId="0" fontId="13" fillId="41" borderId="10" xfId="0" applyFont="1" applyFill="1" applyBorder="1" applyAlignment="1">
      <alignment horizontal="center" wrapText="1"/>
    </xf>
    <xf numFmtId="4" fontId="0" fillId="41" borderId="16" xfId="0" applyNumberFormat="1" applyFont="1" applyFill="1" applyBorder="1" applyAlignment="1">
      <alignment horizontal="center" wrapText="1"/>
    </xf>
    <xf numFmtId="168" fontId="0" fillId="41" borderId="71" xfId="0" applyNumberFormat="1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wrapText="1"/>
    </xf>
    <xf numFmtId="2" fontId="13" fillId="35" borderId="10" xfId="0" applyNumberFormat="1" applyFont="1" applyFill="1" applyBorder="1" applyAlignment="1">
      <alignment horizontal="center" wrapText="1"/>
    </xf>
    <xf numFmtId="4" fontId="0" fillId="35" borderId="16" xfId="0" applyNumberFormat="1" applyFont="1" applyFill="1" applyBorder="1" applyAlignment="1">
      <alignment horizontal="center" wrapText="1"/>
    </xf>
    <xf numFmtId="168" fontId="0" fillId="35" borderId="71" xfId="0" applyNumberFormat="1" applyFont="1" applyFill="1" applyBorder="1" applyAlignment="1">
      <alignment horizontal="center" wrapText="1"/>
    </xf>
    <xf numFmtId="0" fontId="1" fillId="41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0" fontId="1" fillId="33" borderId="10" xfId="0" applyFont="1" applyFill="1" applyBorder="1" applyAlignment="1">
      <alignment vertical="distributed"/>
    </xf>
    <xf numFmtId="0" fontId="37" fillId="0" borderId="0" xfId="0" applyFont="1" applyBorder="1" applyAlignment="1">
      <alignment horizontal="center" vertical="distributed" wrapText="1"/>
    </xf>
    <xf numFmtId="4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9" fillId="0" borderId="13" xfId="0" applyFont="1" applyBorder="1" applyAlignment="1">
      <alignment vertical="top" wrapText="1"/>
    </xf>
    <xf numFmtId="0" fontId="31" fillId="33" borderId="11" xfId="0" applyFont="1" applyFill="1" applyBorder="1" applyAlignment="1">
      <alignment wrapText="1"/>
    </xf>
    <xf numFmtId="49" fontId="27" fillId="0" borderId="49" xfId="0" applyNumberFormat="1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8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/>
    </xf>
    <xf numFmtId="170" fontId="0" fillId="33" borderId="10" xfId="0" applyNumberForma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3" fillId="33" borderId="44" xfId="0" applyNumberFormat="1" applyFont="1" applyFill="1" applyBorder="1" applyAlignment="1">
      <alignment horizontal="center" wrapText="1"/>
    </xf>
    <xf numFmtId="49" fontId="27" fillId="0" borderId="66" xfId="0" applyNumberFormat="1" applyFont="1" applyBorder="1" applyAlignment="1">
      <alignment horizontal="center" vertical="top" wrapText="1"/>
    </xf>
    <xf numFmtId="0" fontId="27" fillId="0" borderId="67" xfId="0" applyFont="1" applyBorder="1" applyAlignment="1">
      <alignment horizontal="center" vertical="top" wrapText="1"/>
    </xf>
    <xf numFmtId="2" fontId="21" fillId="0" borderId="0" xfId="0" applyNumberFormat="1" applyFont="1" applyAlignment="1">
      <alignment horizontal="center"/>
    </xf>
    <xf numFmtId="0" fontId="0" fillId="34" borderId="57" xfId="0" applyFont="1" applyFill="1" applyBorder="1" applyAlignment="1">
      <alignment horizontal="center" wrapText="1"/>
    </xf>
    <xf numFmtId="10" fontId="29" fillId="0" borderId="11" xfId="0" applyNumberFormat="1" applyFont="1" applyFill="1" applyBorder="1" applyAlignment="1">
      <alignment horizontal="center" wrapText="1"/>
    </xf>
    <xf numFmtId="168" fontId="0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 wrapText="1"/>
    </xf>
    <xf numFmtId="49" fontId="31" fillId="0" borderId="15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horizontal="center" vertical="top" wrapText="1"/>
    </xf>
    <xf numFmtId="0" fontId="31" fillId="0" borderId="57" xfId="0" applyFont="1" applyBorder="1" applyAlignment="1">
      <alignment horizontal="center" vertical="top" wrapText="1"/>
    </xf>
    <xf numFmtId="0" fontId="31" fillId="0" borderId="10" xfId="0" applyFont="1" applyBorder="1" applyAlignment="1">
      <alignment vertical="distributed" wrapText="1"/>
    </xf>
    <xf numFmtId="2" fontId="31" fillId="0" borderId="57" xfId="0" applyNumberFormat="1" applyFont="1" applyBorder="1" applyAlignment="1">
      <alignment horizontal="center" vertical="top" wrapText="1"/>
    </xf>
    <xf numFmtId="0" fontId="31" fillId="0" borderId="10" xfId="0" applyFont="1" applyFill="1" applyBorder="1" applyAlignment="1">
      <alignment vertical="top" wrapText="1"/>
    </xf>
    <xf numFmtId="168" fontId="31" fillId="0" borderId="57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4" fontId="27" fillId="0" borderId="10" xfId="0" applyNumberFormat="1" applyFont="1" applyBorder="1" applyAlignment="1">
      <alignment horizontal="center" vertical="top" wrapText="1"/>
    </xf>
    <xf numFmtId="4" fontId="27" fillId="0" borderId="57" xfId="0" applyNumberFormat="1" applyFont="1" applyBorder="1" applyAlignment="1">
      <alignment horizontal="center" vertical="top" wrapText="1"/>
    </xf>
    <xf numFmtId="0" fontId="31" fillId="34" borderId="10" xfId="0" applyFont="1" applyFill="1" applyBorder="1" applyAlignment="1">
      <alignment vertical="top" wrapText="1"/>
    </xf>
    <xf numFmtId="0" fontId="13" fillId="0" borderId="35" xfId="0" applyFont="1" applyBorder="1" applyAlignment="1">
      <alignment vertical="top" wrapText="1"/>
    </xf>
    <xf numFmtId="49" fontId="31" fillId="0" borderId="19" xfId="0" applyNumberFormat="1" applyFont="1" applyBorder="1" applyAlignment="1">
      <alignment horizontal="center" vertical="top" wrapText="1"/>
    </xf>
    <xf numFmtId="0" fontId="31" fillId="0" borderId="11" xfId="0" applyFont="1" applyBorder="1" applyAlignment="1">
      <alignment vertical="top" wrapText="1"/>
    </xf>
    <xf numFmtId="4" fontId="31" fillId="0" borderId="11" xfId="0" applyNumberFormat="1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3" fontId="21" fillId="0" borderId="6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vertical="distributed"/>
    </xf>
    <xf numFmtId="0" fontId="38" fillId="0" borderId="10" xfId="0" applyFont="1" applyBorder="1" applyAlignment="1">
      <alignment vertical="distributed"/>
    </xf>
    <xf numFmtId="2" fontId="0" fillId="42" borderId="10" xfId="0" applyNumberFormat="1" applyFill="1" applyBorder="1" applyAlignment="1">
      <alignment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2" fontId="1" fillId="34" borderId="10" xfId="0" applyNumberFormat="1" applyFont="1" applyFill="1" applyBorder="1" applyAlignment="1">
      <alignment/>
    </xf>
    <xf numFmtId="0" fontId="37" fillId="36" borderId="10" xfId="0" applyFont="1" applyFill="1" applyBorder="1" applyAlignment="1">
      <alignment horizontal="left" vertical="distributed" wrapText="1"/>
    </xf>
    <xf numFmtId="4" fontId="0" fillId="36" borderId="10" xfId="0" applyNumberFormat="1" applyFont="1" applyFill="1" applyBorder="1" applyAlignment="1">
      <alignment horizontal="center" wrapText="1"/>
    </xf>
    <xf numFmtId="0" fontId="31" fillId="41" borderId="10" xfId="0" applyFont="1" applyFill="1" applyBorder="1" applyAlignment="1">
      <alignment horizontal="center" vertical="top" wrapText="1"/>
    </xf>
    <xf numFmtId="0" fontId="31" fillId="34" borderId="57" xfId="0" applyFont="1" applyFill="1" applyBorder="1" applyAlignment="1">
      <alignment horizontal="center" vertical="top" wrapText="1"/>
    </xf>
    <xf numFmtId="0" fontId="31" fillId="36" borderId="10" xfId="0" applyFont="1" applyFill="1" applyBorder="1" applyAlignment="1">
      <alignment vertical="top" wrapText="1"/>
    </xf>
    <xf numFmtId="4" fontId="23" fillId="0" borderId="67" xfId="0" applyNumberFormat="1" applyFont="1" applyBorder="1" applyAlignment="1">
      <alignment horizontal="center" vertical="top" wrapText="1"/>
    </xf>
    <xf numFmtId="0" fontId="23" fillId="0" borderId="67" xfId="0" applyFont="1" applyBorder="1" applyAlignment="1">
      <alignment vertical="top" wrapText="1"/>
    </xf>
    <xf numFmtId="0" fontId="0" fillId="43" borderId="57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32" xfId="0" applyFont="1" applyBorder="1" applyAlignment="1">
      <alignment horizontal="center"/>
    </xf>
    <xf numFmtId="2" fontId="2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166" fontId="23" fillId="0" borderId="77" xfId="0" applyNumberFormat="1" applyFont="1" applyBorder="1" applyAlignment="1">
      <alignment horizontal="center" vertical="top" wrapText="1"/>
    </xf>
    <xf numFmtId="2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6" fillId="37" borderId="14" xfId="0" applyFont="1" applyFill="1" applyBorder="1" applyAlignment="1">
      <alignment horizontal="center" wrapText="1"/>
    </xf>
    <xf numFmtId="0" fontId="6" fillId="37" borderId="80" xfId="0" applyFont="1" applyFill="1" applyBorder="1" applyAlignment="1">
      <alignment horizontal="center" wrapText="1"/>
    </xf>
    <xf numFmtId="0" fontId="2" fillId="0" borderId="7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0" fillId="0" borderId="8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4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Fill="1" applyAlignment="1">
      <alignment horizontal="left" wrapText="1"/>
    </xf>
    <xf numFmtId="0" fontId="37" fillId="0" borderId="81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1" fillId="0" borderId="0" xfId="0" applyFont="1" applyAlignment="1">
      <alignment horizontal="center" vertical="distributed"/>
    </xf>
    <xf numFmtId="0" fontId="1" fillId="0" borderId="8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7" fillId="0" borderId="0" xfId="0" applyFont="1" applyAlignment="1">
      <alignment horizontal="left" vertical="distributed"/>
    </xf>
    <xf numFmtId="0" fontId="1" fillId="0" borderId="0" xfId="0" applyFont="1" applyAlignment="1">
      <alignment horizontal="center"/>
    </xf>
    <xf numFmtId="0" fontId="1" fillId="0" borderId="47" xfId="0" applyFont="1" applyBorder="1" applyAlignment="1">
      <alignment horizontal="left" vertical="distributed"/>
    </xf>
    <xf numFmtId="0" fontId="1" fillId="0" borderId="0" xfId="0" applyFont="1" applyBorder="1" applyAlignment="1">
      <alignment horizontal="left" vertical="distributed"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0" fontId="0" fillId="0" borderId="47" xfId="0" applyBorder="1" applyAlignment="1">
      <alignment horizontal="center"/>
    </xf>
    <xf numFmtId="0" fontId="1" fillId="36" borderId="47" xfId="0" applyFont="1" applyFill="1" applyBorder="1" applyAlignment="1">
      <alignment horizontal="center" vertical="distributed"/>
    </xf>
    <xf numFmtId="0" fontId="1" fillId="36" borderId="0" xfId="0" applyFont="1" applyFill="1" applyBorder="1" applyAlignment="1">
      <alignment horizontal="center" vertical="distributed"/>
    </xf>
    <xf numFmtId="0" fontId="1" fillId="0" borderId="0" xfId="0" applyFont="1" applyAlignment="1">
      <alignment horizontal="left" vertical="top"/>
    </xf>
    <xf numFmtId="0" fontId="0" fillId="0" borderId="29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9" fontId="27" fillId="0" borderId="15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57" xfId="0" applyFont="1" applyBorder="1" applyAlignment="1">
      <alignment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22" xfId="0" applyFont="1" applyBorder="1" applyAlignment="1">
      <alignment horizontal="left" vertical="top" wrapText="1"/>
    </xf>
    <xf numFmtId="0" fontId="31" fillId="0" borderId="13" xfId="0" applyFont="1" applyBorder="1" applyAlignment="1">
      <alignment horizontal="left" vertical="top" wrapText="1"/>
    </xf>
    <xf numFmtId="49" fontId="31" fillId="0" borderId="19" xfId="0" applyNumberFormat="1" applyFont="1" applyBorder="1" applyAlignment="1">
      <alignment horizontal="center" vertical="top" wrapText="1"/>
    </xf>
    <xf numFmtId="49" fontId="31" fillId="0" borderId="23" xfId="0" applyNumberFormat="1" applyFont="1" applyBorder="1" applyAlignment="1">
      <alignment horizontal="center" vertical="top" wrapText="1"/>
    </xf>
    <xf numFmtId="49" fontId="31" fillId="0" borderId="21" xfId="0" applyNumberFormat="1" applyFont="1" applyBorder="1" applyAlignment="1">
      <alignment horizontal="center" vertical="top" wrapText="1"/>
    </xf>
    <xf numFmtId="0" fontId="31" fillId="0" borderId="11" xfId="0" applyFont="1" applyBorder="1" applyAlignment="1">
      <alignment horizontal="center" vertical="top" wrapText="1"/>
    </xf>
    <xf numFmtId="0" fontId="31" fillId="0" borderId="22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4" fontId="31" fillId="0" borderId="11" xfId="0" applyNumberFormat="1" applyFont="1" applyBorder="1" applyAlignment="1">
      <alignment horizontal="center" vertical="top" wrapText="1"/>
    </xf>
    <xf numFmtId="4" fontId="31" fillId="0" borderId="22" xfId="0" applyNumberFormat="1" applyFont="1" applyBorder="1" applyAlignment="1">
      <alignment horizontal="center" vertical="top" wrapText="1"/>
    </xf>
    <xf numFmtId="4" fontId="31" fillId="0" borderId="13" xfId="0" applyNumberFormat="1" applyFont="1" applyBorder="1" applyAlignment="1">
      <alignment horizontal="center" vertical="top" wrapText="1"/>
    </xf>
    <xf numFmtId="2" fontId="31" fillId="0" borderId="65" xfId="0" applyNumberFormat="1" applyFont="1" applyBorder="1" applyAlignment="1">
      <alignment horizontal="center" vertical="top" wrapText="1"/>
    </xf>
    <xf numFmtId="2" fontId="31" fillId="0" borderId="79" xfId="0" applyNumberFormat="1" applyFont="1" applyBorder="1" applyAlignment="1">
      <alignment horizontal="center" vertical="top" wrapText="1"/>
    </xf>
    <xf numFmtId="2" fontId="31" fillId="0" borderId="58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57" xfId="0" applyFont="1" applyBorder="1" applyAlignment="1">
      <alignment vertical="top" wrapText="1"/>
    </xf>
    <xf numFmtId="0" fontId="0" fillId="41" borderId="0" xfId="0" applyFill="1" applyAlignment="1">
      <alignment/>
    </xf>
    <xf numFmtId="2" fontId="0" fillId="41" borderId="0" xfId="0" applyNumberFormat="1" applyFill="1" applyBorder="1" applyAlignment="1">
      <alignment/>
    </xf>
    <xf numFmtId="0" fontId="1" fillId="0" borderId="10" xfId="0" applyFont="1" applyBorder="1" applyAlignment="1">
      <alignment/>
    </xf>
    <xf numFmtId="2" fontId="1" fillId="41" borderId="10" xfId="0" applyNumberFormat="1" applyFont="1" applyFill="1" applyBorder="1" applyAlignment="1">
      <alignment/>
    </xf>
    <xf numFmtId="0" fontId="58" fillId="0" borderId="10" xfId="0" applyFont="1" applyBorder="1" applyAlignment="1">
      <alignment horizontal="left"/>
    </xf>
    <xf numFmtId="2" fontId="58" fillId="41" borderId="10" xfId="0" applyNumberFormat="1" applyFont="1" applyFill="1" applyBorder="1" applyAlignment="1">
      <alignment horizontal="left"/>
    </xf>
    <xf numFmtId="0" fontId="58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left"/>
    </xf>
    <xf numFmtId="2" fontId="6" fillId="41" borderId="10" xfId="0" applyNumberFormat="1" applyFont="1" applyFill="1" applyBorder="1" applyAlignment="1">
      <alignment horizontal="left"/>
    </xf>
    <xf numFmtId="2" fontId="80" fillId="36" borderId="10" xfId="0" applyNumberFormat="1" applyFont="1" applyFill="1" applyBorder="1" applyAlignment="1">
      <alignment horizontal="left"/>
    </xf>
    <xf numFmtId="0" fontId="81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2" fontId="0" fillId="41" borderId="10" xfId="0" applyNumberFormat="1" applyFill="1" applyBorder="1" applyAlignment="1">
      <alignment horizontal="left"/>
    </xf>
    <xf numFmtId="0" fontId="0" fillId="44" borderId="10" xfId="0" applyFill="1" applyBorder="1" applyAlignment="1">
      <alignment horizontal="left"/>
    </xf>
    <xf numFmtId="2" fontId="0" fillId="44" borderId="10" xfId="0" applyNumberFormat="1" applyFill="1" applyBorder="1" applyAlignment="1">
      <alignment horizontal="left"/>
    </xf>
    <xf numFmtId="0" fontId="0" fillId="44" borderId="10" xfId="0" applyFill="1" applyBorder="1" applyAlignment="1">
      <alignment/>
    </xf>
    <xf numFmtId="0" fontId="0" fillId="44" borderId="0" xfId="0" applyFill="1" applyAlignment="1">
      <alignment/>
    </xf>
    <xf numFmtId="0" fontId="1" fillId="0" borderId="10" xfId="0" applyFont="1" applyBorder="1" applyAlignment="1">
      <alignment horizontal="left"/>
    </xf>
    <xf numFmtId="2" fontId="1" fillId="41" borderId="10" xfId="0" applyNumberFormat="1" applyFont="1" applyFill="1" applyBorder="1" applyAlignment="1">
      <alignment horizontal="left"/>
    </xf>
    <xf numFmtId="0" fontId="1" fillId="41" borderId="10" xfId="0" applyFont="1" applyFill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35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41" borderId="11" xfId="0" applyFont="1" applyFill="1" applyBorder="1" applyAlignment="1">
      <alignment/>
    </xf>
    <xf numFmtId="0" fontId="80" fillId="0" borderId="35" xfId="0" applyFont="1" applyBorder="1" applyAlignment="1">
      <alignment horizontal="left"/>
    </xf>
    <xf numFmtId="0" fontId="80" fillId="0" borderId="50" xfId="0" applyFont="1" applyBorder="1" applyAlignment="1">
      <alignment horizontal="left"/>
    </xf>
    <xf numFmtId="0" fontId="80" fillId="0" borderId="12" xfId="0" applyFont="1" applyBorder="1" applyAlignment="1">
      <alignment horizontal="left"/>
    </xf>
    <xf numFmtId="0" fontId="1" fillId="41" borderId="10" xfId="0" applyFont="1" applyFill="1" applyBorder="1" applyAlignment="1">
      <alignment/>
    </xf>
    <xf numFmtId="2" fontId="59" fillId="41" borderId="10" xfId="0" applyNumberFormat="1" applyFont="1" applyFill="1" applyBorder="1" applyAlignment="1">
      <alignment horizontal="left"/>
    </xf>
    <xf numFmtId="0" fontId="59" fillId="0" borderId="10" xfId="0" applyFont="1" applyBorder="1" applyAlignment="1">
      <alignment horizontal="left"/>
    </xf>
    <xf numFmtId="2" fontId="80" fillId="41" borderId="10" xfId="0" applyNumberFormat="1" applyFont="1" applyFill="1" applyBorder="1" applyAlignment="1">
      <alignment horizontal="left"/>
    </xf>
    <xf numFmtId="0" fontId="1" fillId="36" borderId="22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2" fontId="1" fillId="36" borderId="10" xfId="0" applyNumberFormat="1" applyFont="1" applyFill="1" applyBorder="1" applyAlignment="1">
      <alignment horizontal="left"/>
    </xf>
    <xf numFmtId="0" fontId="1" fillId="36" borderId="10" xfId="0" applyFont="1" applyFill="1" applyBorder="1" applyAlignment="1">
      <alignment/>
    </xf>
    <xf numFmtId="2" fontId="81" fillId="36" borderId="10" xfId="0" applyNumberFormat="1" applyFont="1" applyFill="1" applyBorder="1" applyAlignment="1">
      <alignment horizontal="left"/>
    </xf>
    <xf numFmtId="2" fontId="6" fillId="36" borderId="10" xfId="0" applyNumberFormat="1" applyFont="1" applyFill="1" applyBorder="1" applyAlignment="1">
      <alignment horizontal="left"/>
    </xf>
    <xf numFmtId="0" fontId="0" fillId="34" borderId="0" xfId="0" applyFill="1" applyAlignment="1">
      <alignment/>
    </xf>
    <xf numFmtId="0" fontId="60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0" fontId="6" fillId="36" borderId="10" xfId="0" applyFont="1" applyFill="1" applyBorder="1" applyAlignment="1">
      <alignment horizontal="left" wrapText="1"/>
    </xf>
    <xf numFmtId="0" fontId="0" fillId="39" borderId="0" xfId="0" applyFill="1" applyAlignment="1">
      <alignment/>
    </xf>
    <xf numFmtId="0" fontId="0" fillId="36" borderId="0" xfId="0" applyFill="1" applyAlignment="1">
      <alignment/>
    </xf>
    <xf numFmtId="2" fontId="81" fillId="41" borderId="10" xfId="0" applyNumberFormat="1" applyFont="1" applyFill="1" applyBorder="1" applyAlignment="1">
      <alignment horizontal="left"/>
    </xf>
    <xf numFmtId="0" fontId="1" fillId="36" borderId="10" xfId="0" applyFont="1" applyFill="1" applyBorder="1" applyAlignment="1">
      <alignment horizontal="left" wrapText="1"/>
    </xf>
    <xf numFmtId="2" fontId="1" fillId="0" borderId="10" xfId="0" applyNumberFormat="1" applyFont="1" applyBorder="1" applyAlignment="1">
      <alignment horizontal="left"/>
    </xf>
    <xf numFmtId="0" fontId="80" fillId="0" borderId="10" xfId="0" applyFont="1" applyBorder="1" applyAlignment="1">
      <alignment horizontal="left"/>
    </xf>
    <xf numFmtId="0" fontId="80" fillId="41" borderId="10" xfId="0" applyFont="1" applyFill="1" applyBorder="1" applyAlignment="1">
      <alignment horizontal="left"/>
    </xf>
    <xf numFmtId="0" fontId="80" fillId="0" borderId="10" xfId="0" applyFont="1" applyBorder="1" applyAlignment="1">
      <alignment/>
    </xf>
    <xf numFmtId="0" fontId="80" fillId="41" borderId="10" xfId="0" applyFont="1" applyFill="1" applyBorder="1" applyAlignment="1">
      <alignment horizontal="left" wrapText="1"/>
    </xf>
    <xf numFmtId="0" fontId="80" fillId="41" borderId="10" xfId="0" applyFont="1" applyFill="1" applyBorder="1" applyAlignment="1">
      <alignment/>
    </xf>
    <xf numFmtId="0" fontId="80" fillId="41" borderId="10" xfId="0" applyFont="1" applyFill="1" applyBorder="1" applyAlignment="1">
      <alignment horizontal="center"/>
    </xf>
    <xf numFmtId="0" fontId="80" fillId="41" borderId="10" xfId="0" applyFont="1" applyFill="1" applyBorder="1" applyAlignment="1">
      <alignment wrapText="1"/>
    </xf>
    <xf numFmtId="0" fontId="80" fillId="0" borderId="69" xfId="0" applyFont="1" applyBorder="1" applyAlignment="1">
      <alignment/>
    </xf>
    <xf numFmtId="0" fontId="82" fillId="41" borderId="69" xfId="0" applyFont="1" applyFill="1" applyBorder="1" applyAlignment="1">
      <alignment/>
    </xf>
    <xf numFmtId="0" fontId="82" fillId="0" borderId="69" xfId="0" applyFont="1" applyBorder="1" applyAlignment="1">
      <alignment/>
    </xf>
    <xf numFmtId="0" fontId="82" fillId="0" borderId="0" xfId="0" applyFont="1" applyAlignment="1">
      <alignment/>
    </xf>
    <xf numFmtId="0" fontId="82" fillId="0" borderId="0" xfId="0" applyFont="1" applyBorder="1" applyAlignment="1">
      <alignment horizontal="center"/>
    </xf>
    <xf numFmtId="0" fontId="82" fillId="41" borderId="0" xfId="0" applyFont="1" applyFill="1" applyBorder="1" applyAlignment="1">
      <alignment horizontal="center"/>
    </xf>
    <xf numFmtId="0" fontId="82" fillId="0" borderId="0" xfId="0" applyFont="1" applyBorder="1" applyAlignment="1">
      <alignment/>
    </xf>
    <xf numFmtId="0" fontId="80" fillId="0" borderId="0" xfId="0" applyFont="1" applyBorder="1" applyAlignment="1">
      <alignment horizontal="center"/>
    </xf>
    <xf numFmtId="0" fontId="80" fillId="41" borderId="0" xfId="0" applyFont="1" applyFill="1" applyBorder="1" applyAlignment="1">
      <alignment horizontal="center"/>
    </xf>
    <xf numFmtId="0" fontId="80" fillId="0" borderId="0" xfId="0" applyFont="1" applyBorder="1" applyAlignment="1">
      <alignment/>
    </xf>
    <xf numFmtId="0" fontId="82" fillId="41" borderId="0" xfId="0" applyFont="1" applyFill="1" applyBorder="1" applyAlignment="1">
      <alignment/>
    </xf>
    <xf numFmtId="0" fontId="82" fillId="0" borderId="0" xfId="0" applyFont="1" applyAlignment="1">
      <alignment/>
    </xf>
    <xf numFmtId="0" fontId="83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53;&#1086;&#1074;&#1072;&#1103;%20&#1087;&#1072;&#1087;&#1082;&#1072;\&#1090;&#1072;&#1088;&#1080;&#1092;%20&#1087;&#1086;%20&#1076;&#1086;&#1084;&#1072;&#1084;\&#1056;&#1072;&#1089;&#1095;&#1077;&#1090;%20&#1094;&#1077;&#1085;&#1099;%20&#1091;&#1089;&#1083;&#1091;&#1075;&#1080;%20&#1087;&#1086;%20&#1076;&#1086;&#1084;&#1072;&#1084;%20%20&#1085;&#1072;%202012&#1075;\&#1065;&#1091;&#1089;&#1077;&#1074;&#1072;%2012%20&#1082;&#1086;&#1088;&#1087;%202%20&#1090;&#1072;&#1088;&#1080;&#1092;%20&#1085;&#1072;%202010%20&#1075;&#1086;&#1076;%20&#1053;&#1086;&#1074;&#1086;&#1089;&#1090;&#1088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Исход дан"/>
      <sheetName val="сан сод !"/>
      <sheetName val="спец инв"/>
      <sheetName val="Проф раб"/>
      <sheetName val="ВСЕ раб"/>
      <sheetName val="Обязат"/>
    </sheetNames>
    <sheetDataSet>
      <sheetData sheetId="4">
        <row r="7">
          <cell r="C7" t="str">
            <v>Очистка техэтажей от мусора со сбором его в тару и отноской в установленное место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28">
      <selection activeCell="D42" sqref="D42"/>
    </sheetView>
  </sheetViews>
  <sheetFormatPr defaultColWidth="9.00390625" defaultRowHeight="12.75"/>
  <cols>
    <col min="1" max="1" width="6.875" style="0" customWidth="1"/>
    <col min="2" max="2" width="46.625" style="0" customWidth="1"/>
    <col min="3" max="3" width="12.875" style="0" customWidth="1"/>
    <col min="4" max="4" width="14.625" style="3" customWidth="1"/>
    <col min="6" max="6" width="16.375" style="0" customWidth="1"/>
  </cols>
  <sheetData>
    <row r="1" spans="2:4" s="27" customFormat="1" ht="15.75">
      <c r="B1" s="903" t="s">
        <v>759</v>
      </c>
      <c r="C1" s="903"/>
      <c r="D1" s="338"/>
    </row>
    <row r="2" ht="13.5" thickBot="1"/>
    <row r="3" spans="1:7" s="2" customFormat="1" ht="29.25" customHeight="1" thickBot="1">
      <c r="A3" s="430"/>
      <c r="B3" s="534" t="s">
        <v>0</v>
      </c>
      <c r="C3" s="535" t="s">
        <v>151</v>
      </c>
      <c r="D3" s="536" t="s">
        <v>486</v>
      </c>
      <c r="E3"/>
      <c r="F3"/>
      <c r="G3"/>
    </row>
    <row r="4" spans="1:7" s="243" customFormat="1" ht="15" customHeight="1" thickBot="1">
      <c r="A4" s="299" t="s">
        <v>87</v>
      </c>
      <c r="B4" s="304" t="s">
        <v>191</v>
      </c>
      <c r="C4" s="299" t="s">
        <v>88</v>
      </c>
      <c r="D4" s="540" t="s">
        <v>72</v>
      </c>
      <c r="E4"/>
      <c r="F4"/>
      <c r="G4"/>
    </row>
    <row r="5" spans="1:7" s="238" customFormat="1" ht="15" customHeight="1">
      <c r="A5" s="124" t="s">
        <v>191</v>
      </c>
      <c r="B5" s="537" t="s">
        <v>265</v>
      </c>
      <c r="C5" s="538" t="s">
        <v>169</v>
      </c>
      <c r="D5" s="539">
        <v>21</v>
      </c>
      <c r="E5"/>
      <c r="F5"/>
      <c r="G5"/>
    </row>
    <row r="6" spans="1:7" s="238" customFormat="1" ht="15" customHeight="1">
      <c r="A6" s="121" t="s">
        <v>88</v>
      </c>
      <c r="B6" s="240" t="s">
        <v>185</v>
      </c>
      <c r="C6" s="381" t="s">
        <v>169</v>
      </c>
      <c r="D6" s="452">
        <v>21</v>
      </c>
      <c r="E6"/>
      <c r="F6"/>
      <c r="G6"/>
    </row>
    <row r="7" spans="1:7" s="238" customFormat="1" ht="15" customHeight="1" thickBot="1">
      <c r="A7" s="249" t="s">
        <v>72</v>
      </c>
      <c r="B7" s="345" t="s">
        <v>186</v>
      </c>
      <c r="C7" s="382" t="s">
        <v>290</v>
      </c>
      <c r="D7" s="453">
        <v>56</v>
      </c>
      <c r="E7"/>
      <c r="F7"/>
      <c r="G7"/>
    </row>
    <row r="8" spans="1:7" s="4" customFormat="1" ht="27.75" customHeight="1" thickBot="1">
      <c r="A8" s="346" t="s">
        <v>73</v>
      </c>
      <c r="B8" s="308" t="s">
        <v>414</v>
      </c>
      <c r="C8" s="314" t="s">
        <v>278</v>
      </c>
      <c r="D8" s="780">
        <f>D9+D10+D11</f>
        <v>999.2</v>
      </c>
      <c r="E8" s="5"/>
      <c r="F8" s="5"/>
      <c r="G8" s="5"/>
    </row>
    <row r="9" spans="1:8" s="349" customFormat="1" ht="15" customHeight="1">
      <c r="A9" s="124" t="s">
        <v>74</v>
      </c>
      <c r="B9" s="347" t="s">
        <v>64</v>
      </c>
      <c r="C9" s="348" t="s">
        <v>278</v>
      </c>
      <c r="D9" s="556">
        <v>55.6</v>
      </c>
      <c r="E9" s="115"/>
      <c r="F9" s="115"/>
      <c r="G9" s="115"/>
      <c r="H9" s="349">
        <v>75.6</v>
      </c>
    </row>
    <row r="10" spans="1:7" s="349" customFormat="1" ht="15" customHeight="1" thickBot="1">
      <c r="A10" s="428" t="s">
        <v>75</v>
      </c>
      <c r="B10" s="427" t="s">
        <v>413</v>
      </c>
      <c r="C10" s="348" t="s">
        <v>278</v>
      </c>
      <c r="D10" s="557">
        <v>0</v>
      </c>
      <c r="E10" s="115"/>
      <c r="F10" s="115"/>
      <c r="G10" s="115"/>
    </row>
    <row r="11" spans="1:7" s="239" customFormat="1" ht="27.75" customHeight="1" thickBot="1">
      <c r="A11" s="346" t="s">
        <v>76</v>
      </c>
      <c r="B11" s="308" t="s">
        <v>415</v>
      </c>
      <c r="C11" s="309" t="s">
        <v>278</v>
      </c>
      <c r="D11" s="307">
        <f>D12*1</f>
        <v>943.6</v>
      </c>
      <c r="E11"/>
      <c r="F11"/>
      <c r="G11"/>
    </row>
    <row r="12" spans="1:7" s="1" customFormat="1" ht="15" customHeight="1">
      <c r="A12" s="124"/>
      <c r="B12" s="123" t="s">
        <v>369</v>
      </c>
      <c r="C12" s="18" t="s">
        <v>278</v>
      </c>
      <c r="D12" s="350">
        <v>943.6</v>
      </c>
      <c r="E12"/>
      <c r="F12"/>
      <c r="G12"/>
    </row>
    <row r="13" spans="1:7" s="1" customFormat="1" ht="15" customHeight="1">
      <c r="A13" s="124"/>
      <c r="B13" s="123" t="s">
        <v>370</v>
      </c>
      <c r="C13" s="18" t="s">
        <v>278</v>
      </c>
      <c r="D13" s="350">
        <v>0</v>
      </c>
      <c r="E13"/>
      <c r="F13"/>
      <c r="G13"/>
    </row>
    <row r="14" spans="1:7" s="1" customFormat="1" ht="15" customHeight="1">
      <c r="A14" s="124" t="s">
        <v>77</v>
      </c>
      <c r="B14" s="123" t="s">
        <v>62</v>
      </c>
      <c r="C14" s="18" t="s">
        <v>278</v>
      </c>
      <c r="D14" s="350">
        <v>500.7</v>
      </c>
      <c r="E14"/>
      <c r="F14"/>
      <c r="G14"/>
    </row>
    <row r="15" spans="1:7" s="1" customFormat="1" ht="15" customHeight="1">
      <c r="A15" s="121" t="s">
        <v>78</v>
      </c>
      <c r="B15" s="8" t="s">
        <v>270</v>
      </c>
      <c r="C15" s="7" t="s">
        <v>278</v>
      </c>
      <c r="D15" s="343">
        <v>0</v>
      </c>
      <c r="E15"/>
      <c r="F15"/>
      <c r="G15"/>
    </row>
    <row r="16" spans="1:7" s="1" customFormat="1" ht="15" customHeight="1">
      <c r="A16" s="121" t="s">
        <v>79</v>
      </c>
      <c r="B16" s="8" t="s">
        <v>269</v>
      </c>
      <c r="C16" s="7" t="s">
        <v>278</v>
      </c>
      <c r="D16" s="343">
        <v>314.5</v>
      </c>
      <c r="E16"/>
      <c r="F16"/>
      <c r="G16"/>
    </row>
    <row r="17" spans="1:7" s="1" customFormat="1" ht="15" customHeight="1">
      <c r="A17" s="121" t="s">
        <v>80</v>
      </c>
      <c r="B17" s="8" t="s">
        <v>63</v>
      </c>
      <c r="C17" s="7" t="s">
        <v>278</v>
      </c>
      <c r="D17" s="343">
        <v>8</v>
      </c>
      <c r="E17"/>
      <c r="F17"/>
      <c r="G17"/>
    </row>
    <row r="18" spans="1:7" s="1" customFormat="1" ht="15" customHeight="1">
      <c r="A18" s="121" t="s">
        <v>81</v>
      </c>
      <c r="B18" s="8" t="s">
        <v>496</v>
      </c>
      <c r="C18" s="7" t="s">
        <v>497</v>
      </c>
      <c r="D18" s="343">
        <v>4341</v>
      </c>
      <c r="E18"/>
      <c r="F18"/>
      <c r="G18"/>
    </row>
    <row r="19" spans="1:7" s="1" customFormat="1" ht="15" customHeight="1">
      <c r="A19" s="121" t="s">
        <v>155</v>
      </c>
      <c r="B19" s="8" t="s">
        <v>321</v>
      </c>
      <c r="C19" s="7" t="s">
        <v>322</v>
      </c>
      <c r="D19" s="343">
        <v>36</v>
      </c>
      <c r="E19"/>
      <c r="F19"/>
      <c r="G19"/>
    </row>
    <row r="20" spans="1:7" s="1" customFormat="1" ht="15" customHeight="1">
      <c r="A20" s="121" t="s">
        <v>82</v>
      </c>
      <c r="B20" s="8" t="s">
        <v>324</v>
      </c>
      <c r="C20" s="7" t="s">
        <v>323</v>
      </c>
      <c r="D20" s="343">
        <v>60</v>
      </c>
      <c r="E20" s="795"/>
      <c r="F20"/>
      <c r="G20"/>
    </row>
    <row r="21" spans="1:7" s="1" customFormat="1" ht="27.75" customHeight="1">
      <c r="A21" s="121" t="s">
        <v>156</v>
      </c>
      <c r="B21" s="8" t="s">
        <v>325</v>
      </c>
      <c r="C21" s="7" t="s">
        <v>323</v>
      </c>
      <c r="D21" s="343">
        <v>0</v>
      </c>
      <c r="E21"/>
      <c r="F21"/>
      <c r="G21"/>
    </row>
    <row r="22" spans="1:7" s="1" customFormat="1" ht="15" customHeight="1">
      <c r="A22" s="121" t="s">
        <v>157</v>
      </c>
      <c r="B22" s="8" t="s">
        <v>326</v>
      </c>
      <c r="C22" s="7" t="s">
        <v>323</v>
      </c>
      <c r="D22" s="343">
        <v>0</v>
      </c>
      <c r="E22"/>
      <c r="F22"/>
      <c r="G22"/>
    </row>
    <row r="23" spans="1:7" s="1" customFormat="1" ht="15" customHeight="1">
      <c r="A23" s="121" t="s">
        <v>158</v>
      </c>
      <c r="B23" s="8" t="s">
        <v>329</v>
      </c>
      <c r="C23" s="7" t="s">
        <v>323</v>
      </c>
      <c r="D23" s="343">
        <v>604</v>
      </c>
      <c r="E23"/>
      <c r="F23"/>
      <c r="G23"/>
    </row>
    <row r="24" spans="1:7" s="1" customFormat="1" ht="27.75" customHeight="1">
      <c r="A24" s="121" t="s">
        <v>89</v>
      </c>
      <c r="B24" s="8" t="s">
        <v>330</v>
      </c>
      <c r="C24" s="7" t="s">
        <v>169</v>
      </c>
      <c r="D24" s="343">
        <v>2</v>
      </c>
      <c r="E24"/>
      <c r="F24"/>
      <c r="G24"/>
    </row>
    <row r="25" spans="1:7" s="1" customFormat="1" ht="15" customHeight="1">
      <c r="A25" s="121" t="s">
        <v>90</v>
      </c>
      <c r="B25" s="8" t="s">
        <v>331</v>
      </c>
      <c r="C25" s="7" t="s">
        <v>169</v>
      </c>
      <c r="D25" s="343">
        <v>2</v>
      </c>
      <c r="E25"/>
      <c r="F25"/>
      <c r="G25"/>
    </row>
    <row r="26" spans="1:7" s="1" customFormat="1" ht="15" customHeight="1">
      <c r="A26" s="121" t="s">
        <v>91</v>
      </c>
      <c r="B26" s="8" t="s">
        <v>327</v>
      </c>
      <c r="C26" s="7" t="s">
        <v>328</v>
      </c>
      <c r="D26" s="343">
        <v>108</v>
      </c>
      <c r="E26"/>
      <c r="F26"/>
      <c r="G26"/>
    </row>
    <row r="27" spans="1:7" s="1" customFormat="1" ht="15" customHeight="1">
      <c r="A27" s="121" t="s">
        <v>92</v>
      </c>
      <c r="B27" s="8" t="s">
        <v>332</v>
      </c>
      <c r="C27" s="7" t="s">
        <v>328</v>
      </c>
      <c r="D27" s="343">
        <v>0</v>
      </c>
      <c r="E27"/>
      <c r="F27"/>
      <c r="G27"/>
    </row>
    <row r="28" spans="1:7" s="1" customFormat="1" ht="15" customHeight="1">
      <c r="A28" s="121" t="s">
        <v>93</v>
      </c>
      <c r="B28" s="8" t="s">
        <v>333</v>
      </c>
      <c r="C28" s="7" t="s">
        <v>328</v>
      </c>
      <c r="D28" s="343">
        <v>1</v>
      </c>
      <c r="E28"/>
      <c r="F28"/>
      <c r="G28"/>
    </row>
    <row r="29" spans="1:7" s="1" customFormat="1" ht="15" customHeight="1">
      <c r="A29" s="121" t="s">
        <v>94</v>
      </c>
      <c r="B29" s="8" t="s">
        <v>187</v>
      </c>
      <c r="C29" s="7" t="s">
        <v>169</v>
      </c>
      <c r="D29" s="343">
        <v>42</v>
      </c>
      <c r="E29"/>
      <c r="F29"/>
      <c r="G29"/>
    </row>
    <row r="30" spans="1:7" s="1" customFormat="1" ht="15" customHeight="1">
      <c r="A30" s="121" t="s">
        <v>95</v>
      </c>
      <c r="B30" s="8" t="s">
        <v>188</v>
      </c>
      <c r="C30" s="7" t="s">
        <v>169</v>
      </c>
      <c r="D30" s="343">
        <v>21</v>
      </c>
      <c r="E30"/>
      <c r="F30"/>
      <c r="G30"/>
    </row>
    <row r="31" spans="1:9" s="1" customFormat="1" ht="27" customHeight="1">
      <c r="A31" s="121" t="s">
        <v>96</v>
      </c>
      <c r="B31" s="8" t="s">
        <v>310</v>
      </c>
      <c r="C31" s="7" t="s">
        <v>289</v>
      </c>
      <c r="D31" s="854">
        <v>2569</v>
      </c>
      <c r="E31"/>
      <c r="F31"/>
      <c r="G31"/>
      <c r="I31" s="1">
        <v>4172</v>
      </c>
    </row>
    <row r="32" spans="1:7" s="1" customFormat="1" ht="27" customHeight="1">
      <c r="A32" s="121" t="s">
        <v>159</v>
      </c>
      <c r="B32" s="8" t="s">
        <v>423</v>
      </c>
      <c r="C32" s="7" t="s">
        <v>289</v>
      </c>
      <c r="D32" s="344">
        <v>0</v>
      </c>
      <c r="E32"/>
      <c r="F32"/>
      <c r="G32"/>
    </row>
    <row r="33" spans="1:7" s="1" customFormat="1" ht="15" customHeight="1">
      <c r="A33" s="121" t="s">
        <v>160</v>
      </c>
      <c r="B33" s="8" t="s">
        <v>266</v>
      </c>
      <c r="C33" s="7" t="s">
        <v>169</v>
      </c>
      <c r="D33" s="343">
        <v>2</v>
      </c>
      <c r="E33"/>
      <c r="F33"/>
      <c r="G33"/>
    </row>
    <row r="34" spans="1:7" s="1" customFormat="1" ht="15" customHeight="1">
      <c r="A34" s="121" t="s">
        <v>314</v>
      </c>
      <c r="B34" s="8" t="s">
        <v>267</v>
      </c>
      <c r="C34" s="7" t="s">
        <v>169</v>
      </c>
      <c r="D34" s="343">
        <v>3</v>
      </c>
      <c r="E34"/>
      <c r="F34"/>
      <c r="G34"/>
    </row>
    <row r="35" spans="1:7" s="1" customFormat="1" ht="15" customHeight="1">
      <c r="A35" s="121" t="s">
        <v>315</v>
      </c>
      <c r="B35" s="8" t="s">
        <v>417</v>
      </c>
      <c r="C35" s="7" t="s">
        <v>278</v>
      </c>
      <c r="D35" s="895">
        <v>206.1</v>
      </c>
      <c r="E35"/>
      <c r="F35"/>
      <c r="G35"/>
    </row>
    <row r="36" spans="1:7" s="1" customFormat="1" ht="15" customHeight="1">
      <c r="A36" s="121" t="s">
        <v>161</v>
      </c>
      <c r="B36" s="8" t="s">
        <v>418</v>
      </c>
      <c r="C36" s="7" t="s">
        <v>278</v>
      </c>
      <c r="D36" s="343"/>
      <c r="E36"/>
      <c r="F36"/>
      <c r="G36"/>
    </row>
    <row r="37" spans="1:7" s="1" customFormat="1" ht="15" customHeight="1">
      <c r="A37" s="121" t="s">
        <v>97</v>
      </c>
      <c r="B37" s="8" t="s">
        <v>419</v>
      </c>
      <c r="C37" s="7" t="s">
        <v>278</v>
      </c>
      <c r="D37" s="343"/>
      <c r="E37"/>
      <c r="F37"/>
      <c r="G37"/>
    </row>
    <row r="38" spans="1:7" s="1" customFormat="1" ht="15" customHeight="1">
      <c r="A38" s="121" t="s">
        <v>98</v>
      </c>
      <c r="B38" s="8" t="s">
        <v>420</v>
      </c>
      <c r="C38" s="7" t="s">
        <v>278</v>
      </c>
      <c r="D38" s="343">
        <v>229.1</v>
      </c>
      <c r="E38"/>
      <c r="F38"/>
      <c r="G38"/>
    </row>
    <row r="39" spans="1:7" s="1" customFormat="1" ht="15" customHeight="1">
      <c r="A39" s="121" t="s">
        <v>99</v>
      </c>
      <c r="B39" s="8" t="s">
        <v>421</v>
      </c>
      <c r="C39" s="7" t="s">
        <v>278</v>
      </c>
      <c r="D39" s="343"/>
      <c r="E39"/>
      <c r="F39"/>
      <c r="G39"/>
    </row>
    <row r="40" spans="1:7" s="1" customFormat="1" ht="15" customHeight="1">
      <c r="A40" s="121" t="s">
        <v>100</v>
      </c>
      <c r="B40" s="8" t="s">
        <v>422</v>
      </c>
      <c r="C40" s="7" t="s">
        <v>278</v>
      </c>
      <c r="D40" s="343"/>
      <c r="E40"/>
      <c r="F40"/>
      <c r="G40"/>
    </row>
    <row r="41" spans="1:7" s="1" customFormat="1" ht="15" customHeight="1">
      <c r="A41" s="121" t="s">
        <v>101</v>
      </c>
      <c r="B41" s="8" t="s">
        <v>416</v>
      </c>
      <c r="C41" s="7" t="s">
        <v>278</v>
      </c>
      <c r="D41" s="343">
        <v>733.9</v>
      </c>
      <c r="E41"/>
      <c r="F41"/>
      <c r="G41"/>
    </row>
    <row r="42" spans="1:7" s="1" customFormat="1" ht="15" customHeight="1">
      <c r="A42" s="121" t="s">
        <v>102</v>
      </c>
      <c r="B42" s="9" t="s">
        <v>334</v>
      </c>
      <c r="C42" s="7"/>
      <c r="D42" s="343"/>
      <c r="E42"/>
      <c r="F42"/>
      <c r="G42"/>
    </row>
    <row r="43" spans="1:7" s="1" customFormat="1" ht="15" customHeight="1">
      <c r="A43" s="121" t="s">
        <v>103</v>
      </c>
      <c r="B43" s="8" t="s">
        <v>335</v>
      </c>
      <c r="C43" s="7" t="s">
        <v>278</v>
      </c>
      <c r="D43" s="343">
        <v>0</v>
      </c>
      <c r="E43"/>
      <c r="F43"/>
      <c r="G43"/>
    </row>
    <row r="44" spans="1:7" s="1" customFormat="1" ht="15" customHeight="1">
      <c r="A44" s="121" t="s">
        <v>104</v>
      </c>
      <c r="B44" s="8" t="s">
        <v>336</v>
      </c>
      <c r="C44" s="7" t="s">
        <v>169</v>
      </c>
      <c r="D44" s="343">
        <v>0</v>
      </c>
      <c r="E44"/>
      <c r="F44"/>
      <c r="G44"/>
    </row>
    <row r="45" spans="1:7" s="1" customFormat="1" ht="15" customHeight="1">
      <c r="A45" s="121" t="s">
        <v>316</v>
      </c>
      <c r="B45" s="8" t="s">
        <v>334</v>
      </c>
      <c r="C45" s="7" t="s">
        <v>169</v>
      </c>
      <c r="D45" s="343">
        <v>0</v>
      </c>
      <c r="E45"/>
      <c r="F45"/>
      <c r="G45"/>
    </row>
    <row r="46" spans="1:7" s="1" customFormat="1" ht="15" customHeight="1">
      <c r="A46" s="121" t="s">
        <v>105</v>
      </c>
      <c r="B46" s="8" t="s">
        <v>337</v>
      </c>
      <c r="C46" s="7" t="s">
        <v>340</v>
      </c>
      <c r="D46" s="343">
        <v>0</v>
      </c>
      <c r="E46"/>
      <c r="F46"/>
      <c r="G46"/>
    </row>
    <row r="47" spans="1:7" s="1" customFormat="1" ht="15" customHeight="1">
      <c r="A47" s="121" t="s">
        <v>106</v>
      </c>
      <c r="B47" s="8" t="s">
        <v>338</v>
      </c>
      <c r="C47" s="7" t="s">
        <v>169</v>
      </c>
      <c r="D47" s="343">
        <v>0</v>
      </c>
      <c r="E47"/>
      <c r="F47"/>
      <c r="G47"/>
    </row>
    <row r="48" spans="1:7" s="1" customFormat="1" ht="15" customHeight="1" thickBot="1">
      <c r="A48" s="454" t="s">
        <v>498</v>
      </c>
      <c r="B48" s="455" t="s">
        <v>339</v>
      </c>
      <c r="C48" s="456" t="s">
        <v>169</v>
      </c>
      <c r="D48" s="682">
        <v>0</v>
      </c>
      <c r="E48"/>
      <c r="F48"/>
      <c r="G48"/>
    </row>
    <row r="49" spans="1:3" s="1" customFormat="1" ht="15.75" customHeight="1">
      <c r="A49"/>
      <c r="B49"/>
      <c r="C49"/>
    </row>
    <row r="50" spans="1:3" s="1" customFormat="1" ht="15.75" customHeight="1">
      <c r="A50"/>
      <c r="B50"/>
      <c r="C50"/>
    </row>
    <row r="51" spans="1:3" s="4" customFormat="1" ht="15.75" customHeight="1">
      <c r="A51"/>
      <c r="B51"/>
      <c r="C51"/>
    </row>
    <row r="52" spans="1:3" s="1" customFormat="1" ht="15.75" customHeight="1">
      <c r="A52"/>
      <c r="B52"/>
      <c r="C52"/>
    </row>
    <row r="53" spans="1:3" s="1" customFormat="1" ht="15.75" customHeight="1">
      <c r="A53"/>
      <c r="B53"/>
      <c r="C53"/>
    </row>
    <row r="54" spans="1:3" s="1" customFormat="1" ht="15.75" customHeight="1">
      <c r="A54"/>
      <c r="B54"/>
      <c r="C54"/>
    </row>
    <row r="55" spans="1:3" s="4" customFormat="1" ht="15.75" customHeight="1">
      <c r="A55" s="5"/>
      <c r="B55" s="5"/>
      <c r="C55" s="5"/>
    </row>
    <row r="56" ht="15.75" customHeight="1">
      <c r="D56"/>
    </row>
    <row r="57" spans="1:3" s="1" customFormat="1" ht="20.25" customHeight="1">
      <c r="A57"/>
      <c r="B57"/>
      <c r="C57"/>
    </row>
    <row r="58" ht="15.75" customHeight="1">
      <c r="D58"/>
    </row>
  </sheetData>
  <sheetProtection/>
  <mergeCells count="1">
    <mergeCell ref="B1:C1"/>
  </mergeCells>
  <printOptions/>
  <pageMargins left="0.5905511811023623" right="0.3937007874015748" top="0.7874015748031497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pane xSplit="1" ySplit="4" topLeftCell="B11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59" sqref="G59"/>
    </sheetView>
  </sheetViews>
  <sheetFormatPr defaultColWidth="9.00390625" defaultRowHeight="12.75"/>
  <cols>
    <col min="1" max="1" width="45.625" style="0" customWidth="1"/>
    <col min="2" max="2" width="10.00390625" style="3" customWidth="1"/>
    <col min="3" max="3" width="10.75390625" style="3" bestFit="1" customWidth="1"/>
    <col min="4" max="4" width="10.25390625" style="3" customWidth="1"/>
    <col min="5" max="5" width="9.875" style="3" customWidth="1"/>
    <col min="6" max="6" width="9.625" style="3" customWidth="1"/>
    <col min="7" max="7" width="13.125" style="3" customWidth="1"/>
    <col min="8" max="8" width="7.625" style="3" hidden="1" customWidth="1"/>
    <col min="9" max="9" width="0" style="3" hidden="1" customWidth="1"/>
    <col min="10" max="10" width="9.00390625" style="3" hidden="1" customWidth="1"/>
    <col min="11" max="11" width="10.00390625" style="3" hidden="1" customWidth="1"/>
    <col min="12" max="12" width="10.125" style="3" hidden="1" customWidth="1"/>
    <col min="13" max="13" width="8.875" style="3" hidden="1" customWidth="1"/>
    <col min="14" max="14" width="10.625" style="0" bestFit="1" customWidth="1"/>
  </cols>
  <sheetData>
    <row r="1" spans="1:13" s="6" customFormat="1" ht="18.75" thickBot="1">
      <c r="A1" s="911" t="s">
        <v>760</v>
      </c>
      <c r="B1" s="911"/>
      <c r="C1" s="911"/>
      <c r="D1" s="911"/>
      <c r="E1" s="911"/>
      <c r="F1" s="911"/>
      <c r="G1" s="911"/>
      <c r="H1" s="219"/>
      <c r="I1" s="219"/>
      <c r="J1" s="219"/>
      <c r="K1" s="219"/>
      <c r="L1" s="222" t="s">
        <v>148</v>
      </c>
      <c r="M1" s="219"/>
    </row>
    <row r="2" spans="1:13" ht="13.5" thickBot="1">
      <c r="A2" s="130" t="s">
        <v>440</v>
      </c>
      <c r="M2" s="26" t="s">
        <v>56</v>
      </c>
    </row>
    <row r="3" spans="1:13" ht="29.25" customHeight="1">
      <c r="A3" s="912" t="s">
        <v>0</v>
      </c>
      <c r="B3" s="914" t="s">
        <v>109</v>
      </c>
      <c r="C3" s="904" t="s">
        <v>439</v>
      </c>
      <c r="D3" s="904"/>
      <c r="E3" s="904"/>
      <c r="F3" s="904"/>
      <c r="G3" s="905"/>
      <c r="H3" s="906" t="s">
        <v>163</v>
      </c>
      <c r="I3" s="907"/>
      <c r="J3" s="907"/>
      <c r="K3" s="907"/>
      <c r="L3" s="908"/>
      <c r="M3" s="107"/>
    </row>
    <row r="4" spans="1:14" s="2" customFormat="1" ht="51">
      <c r="A4" s="913"/>
      <c r="B4" s="915"/>
      <c r="C4" s="7" t="s">
        <v>4</v>
      </c>
      <c r="D4" s="7" t="s">
        <v>485</v>
      </c>
      <c r="E4" s="7" t="s">
        <v>308</v>
      </c>
      <c r="F4" s="7" t="s">
        <v>297</v>
      </c>
      <c r="G4" s="545" t="s">
        <v>9</v>
      </c>
      <c r="H4" s="263" t="s">
        <v>4</v>
      </c>
      <c r="I4" s="7" t="s">
        <v>58</v>
      </c>
      <c r="J4" s="7" t="s">
        <v>57</v>
      </c>
      <c r="K4" s="7" t="s">
        <v>8</v>
      </c>
      <c r="L4" s="13" t="s">
        <v>9</v>
      </c>
      <c r="M4" s="17" t="s">
        <v>61</v>
      </c>
      <c r="N4"/>
    </row>
    <row r="5" spans="1:14" s="2" customFormat="1" ht="15" customHeight="1" thickBot="1">
      <c r="A5" s="546"/>
      <c r="B5" s="456"/>
      <c r="C5" s="456"/>
      <c r="D5" s="456" t="s">
        <v>278</v>
      </c>
      <c r="E5" s="456" t="s">
        <v>278</v>
      </c>
      <c r="F5" s="456" t="s">
        <v>295</v>
      </c>
      <c r="G5" s="547" t="s">
        <v>56</v>
      </c>
      <c r="H5" s="251"/>
      <c r="I5" s="18"/>
      <c r="J5" s="311"/>
      <c r="K5" s="251"/>
      <c r="L5" s="96"/>
      <c r="M5" s="17"/>
      <c r="N5"/>
    </row>
    <row r="6" spans="1:14" s="2" customFormat="1" ht="16.5" customHeight="1" thickBot="1">
      <c r="A6" s="541">
        <v>1</v>
      </c>
      <c r="B6" s="542">
        <v>2</v>
      </c>
      <c r="C6" s="543">
        <v>3</v>
      </c>
      <c r="D6" s="252">
        <v>4</v>
      </c>
      <c r="E6" s="252">
        <v>5</v>
      </c>
      <c r="F6" s="252">
        <v>6</v>
      </c>
      <c r="G6" s="544">
        <v>7</v>
      </c>
      <c r="H6" s="251">
        <v>8</v>
      </c>
      <c r="I6" s="18">
        <v>9</v>
      </c>
      <c r="J6" s="25">
        <v>10</v>
      </c>
      <c r="K6" s="83">
        <v>11</v>
      </c>
      <c r="L6" s="96">
        <v>12</v>
      </c>
      <c r="M6" s="17">
        <v>13</v>
      </c>
      <c r="N6"/>
    </row>
    <row r="7" spans="1:14" s="28" customFormat="1" ht="14.25" customHeight="1">
      <c r="A7" s="179" t="s">
        <v>60</v>
      </c>
      <c r="B7" s="303" t="s">
        <v>278</v>
      </c>
      <c r="C7" s="721"/>
      <c r="D7" s="722">
        <f>'Исход дан'!D11</f>
        <v>943.6</v>
      </c>
      <c r="E7" s="723"/>
      <c r="F7" s="723"/>
      <c r="G7" s="488"/>
      <c r="H7" s="237"/>
      <c r="I7" s="9">
        <f>D7</f>
        <v>943.6</v>
      </c>
      <c r="J7" s="9"/>
      <c r="K7" s="9"/>
      <c r="L7" s="24"/>
      <c r="M7" s="108"/>
      <c r="N7"/>
    </row>
    <row r="8" spans="1:14" s="2" customFormat="1" ht="15" customHeight="1">
      <c r="A8" s="61" t="s">
        <v>1</v>
      </c>
      <c r="B8" s="108"/>
      <c r="C8" s="477"/>
      <c r="D8" s="221"/>
      <c r="E8" s="221"/>
      <c r="F8" s="221"/>
      <c r="G8" s="702"/>
      <c r="H8" s="263"/>
      <c r="I8" s="7"/>
      <c r="J8" s="7"/>
      <c r="K8" s="7"/>
      <c r="L8" s="13"/>
      <c r="M8" s="17"/>
      <c r="N8"/>
    </row>
    <row r="9" spans="1:14" s="1" customFormat="1" ht="21.75" customHeight="1">
      <c r="A9" s="88" t="s">
        <v>433</v>
      </c>
      <c r="B9" s="17" t="s">
        <v>278</v>
      </c>
      <c r="C9" s="477" t="s">
        <v>298</v>
      </c>
      <c r="D9" s="558">
        <f>'Исход дан'!D9</f>
        <v>55.6</v>
      </c>
      <c r="E9" s="221">
        <v>790</v>
      </c>
      <c r="F9" s="684">
        <f>D9/E9</f>
        <v>0.07037974683544304</v>
      </c>
      <c r="G9" s="702"/>
      <c r="H9" s="263"/>
      <c r="I9" s="7">
        <f>D9</f>
        <v>55.6</v>
      </c>
      <c r="J9" s="7">
        <v>790</v>
      </c>
      <c r="K9" s="93"/>
      <c r="L9" s="13"/>
      <c r="M9" s="17"/>
      <c r="N9"/>
    </row>
    <row r="10" spans="1:14" s="1" customFormat="1" ht="15.75" customHeight="1" thickBot="1">
      <c r="A10" s="92" t="s">
        <v>384</v>
      </c>
      <c r="B10" s="459"/>
      <c r="C10" s="492" t="s">
        <v>298</v>
      </c>
      <c r="D10" s="250" t="s">
        <v>298</v>
      </c>
      <c r="E10" s="250" t="s">
        <v>298</v>
      </c>
      <c r="F10" s="448">
        <v>1.12</v>
      </c>
      <c r="G10" s="703"/>
      <c r="H10" s="263"/>
      <c r="I10" s="7"/>
      <c r="J10" s="7"/>
      <c r="K10" s="85"/>
      <c r="L10" s="97"/>
      <c r="M10" s="17"/>
      <c r="N10"/>
    </row>
    <row r="11" spans="1:14" s="4" customFormat="1" ht="18.75" customHeight="1" thickBot="1">
      <c r="A11" s="373" t="s">
        <v>431</v>
      </c>
      <c r="B11" s="460" t="s">
        <v>295</v>
      </c>
      <c r="C11" s="724"/>
      <c r="D11" s="725"/>
      <c r="E11" s="725"/>
      <c r="F11" s="726">
        <f>F9*F10</f>
        <v>0.07882531645569621</v>
      </c>
      <c r="G11" s="374"/>
      <c r="H11" s="237"/>
      <c r="I11" s="9"/>
      <c r="J11" s="9"/>
      <c r="K11" s="81"/>
      <c r="L11" s="98"/>
      <c r="M11" s="108"/>
      <c r="N11"/>
    </row>
    <row r="12" spans="1:16" s="1" customFormat="1" ht="24" customHeight="1">
      <c r="A12" s="312" t="s">
        <v>386</v>
      </c>
      <c r="B12" s="112" t="s">
        <v>299</v>
      </c>
      <c r="C12" s="793">
        <f>3500*1.25*1.06*1.06</f>
        <v>4915.75</v>
      </c>
      <c r="D12" s="493" t="s">
        <v>298</v>
      </c>
      <c r="E12" s="493" t="s">
        <v>298</v>
      </c>
      <c r="F12" s="683">
        <f>F11</f>
        <v>0.07882531645569621</v>
      </c>
      <c r="G12" s="704">
        <f>C12*F12*12</f>
        <v>4649.826592405064</v>
      </c>
      <c r="H12" s="263">
        <f>C12</f>
        <v>4915.75</v>
      </c>
      <c r="I12" s="86">
        <f>I9</f>
        <v>55.6</v>
      </c>
      <c r="J12" s="7">
        <v>377.66</v>
      </c>
      <c r="K12" s="82">
        <f>I12*J12/100</f>
        <v>209.97896</v>
      </c>
      <c r="L12" s="99">
        <f>K12*12</f>
        <v>2519.74752</v>
      </c>
      <c r="M12" s="109">
        <f aca="true" t="shared" si="0" ref="M12:M19">G12-L12</f>
        <v>2130.079072405064</v>
      </c>
      <c r="N12" s="909"/>
      <c r="O12" s="910"/>
      <c r="P12" s="910"/>
    </row>
    <row r="13" spans="1:14" s="1" customFormat="1" ht="15" customHeight="1">
      <c r="A13" s="88" t="s">
        <v>5</v>
      </c>
      <c r="B13" s="17" t="s">
        <v>196</v>
      </c>
      <c r="C13" s="727">
        <v>0.14</v>
      </c>
      <c r="D13" s="221" t="s">
        <v>298</v>
      </c>
      <c r="E13" s="221" t="s">
        <v>298</v>
      </c>
      <c r="F13" s="221" t="s">
        <v>298</v>
      </c>
      <c r="G13" s="705">
        <f>G12*14/100</f>
        <v>650.975722936709</v>
      </c>
      <c r="H13" s="264">
        <f>C13</f>
        <v>0.14</v>
      </c>
      <c r="I13" s="7"/>
      <c r="J13" s="7">
        <v>188.83</v>
      </c>
      <c r="K13" s="82">
        <f>I12*J13/100</f>
        <v>104.98948</v>
      </c>
      <c r="L13" s="99">
        <f>K13*12</f>
        <v>1259.87376</v>
      </c>
      <c r="M13" s="109">
        <f t="shared" si="0"/>
        <v>-608.898037063291</v>
      </c>
      <c r="N13"/>
    </row>
    <row r="14" spans="1:16" s="4" customFormat="1" ht="15" customHeight="1">
      <c r="A14" s="376" t="s">
        <v>10</v>
      </c>
      <c r="B14" s="467" t="s">
        <v>438</v>
      </c>
      <c r="C14" s="478" t="s">
        <v>298</v>
      </c>
      <c r="D14" s="476" t="s">
        <v>298</v>
      </c>
      <c r="E14" s="476" t="s">
        <v>298</v>
      </c>
      <c r="F14" s="476" t="s">
        <v>298</v>
      </c>
      <c r="G14" s="490">
        <f>G12+G13</f>
        <v>5300.802315341773</v>
      </c>
      <c r="H14" s="237"/>
      <c r="I14" s="9"/>
      <c r="J14" s="9">
        <f>J12+J13</f>
        <v>566.49</v>
      </c>
      <c r="K14" s="87">
        <f>SUM(K12:K13)</f>
        <v>314.96844</v>
      </c>
      <c r="L14" s="100">
        <f>SUM(L12:L13)</f>
        <v>3779.62128</v>
      </c>
      <c r="M14" s="109">
        <f t="shared" si="0"/>
        <v>1521.1810353417727</v>
      </c>
      <c r="N14" s="878">
        <f>G14/12/943.6</f>
        <v>0.46813642038838604</v>
      </c>
      <c r="P14" s="898">
        <f>N14+N36</f>
        <v>1.7120046672238989</v>
      </c>
    </row>
    <row r="15" spans="1:16" s="253" customFormat="1" ht="15" customHeight="1">
      <c r="A15" s="89" t="s">
        <v>12</v>
      </c>
      <c r="B15" s="461" t="s">
        <v>196</v>
      </c>
      <c r="C15" s="728">
        <v>0.202</v>
      </c>
      <c r="D15" s="221" t="s">
        <v>298</v>
      </c>
      <c r="E15" s="221" t="s">
        <v>298</v>
      </c>
      <c r="F15" s="221" t="s">
        <v>298</v>
      </c>
      <c r="G15" s="705">
        <f>G14*C15</f>
        <v>1070.7620676990382</v>
      </c>
      <c r="H15" s="320">
        <v>0.262</v>
      </c>
      <c r="I15" s="153"/>
      <c r="J15" s="153">
        <v>148.42</v>
      </c>
      <c r="K15" s="319">
        <f>I12*J15/100</f>
        <v>82.52152</v>
      </c>
      <c r="L15" s="321">
        <f>K15*12</f>
        <v>990.2582399999999</v>
      </c>
      <c r="M15" s="322">
        <f t="shared" si="0"/>
        <v>80.50382769903831</v>
      </c>
      <c r="N15" s="878">
        <f>G15/12/943.6</f>
        <v>0.09456355691845399</v>
      </c>
      <c r="P15" s="899">
        <f>N15+N37</f>
        <v>0.3458249427792276</v>
      </c>
    </row>
    <row r="16" spans="1:16" s="253" customFormat="1" ht="15" customHeight="1">
      <c r="A16" s="89" t="s">
        <v>6</v>
      </c>
      <c r="B16" s="438" t="s">
        <v>307</v>
      </c>
      <c r="C16" s="729">
        <f>'спец инв'!H13</f>
        <v>561.3232</v>
      </c>
      <c r="D16" s="221" t="s">
        <v>298</v>
      </c>
      <c r="E16" s="221" t="s">
        <v>298</v>
      </c>
      <c r="F16" s="701">
        <f>F11</f>
        <v>0.07882531645569621</v>
      </c>
      <c r="G16" s="519">
        <f>C16*F16</f>
        <v>44.246478873924055</v>
      </c>
      <c r="H16" s="245">
        <v>14.51</v>
      </c>
      <c r="I16" s="153"/>
      <c r="J16" s="153">
        <v>2.63</v>
      </c>
      <c r="K16" s="323">
        <f>J16*I12/100</f>
        <v>1.46228</v>
      </c>
      <c r="L16" s="321">
        <f>K16*12</f>
        <v>17.54736</v>
      </c>
      <c r="M16" s="322">
        <f t="shared" si="0"/>
        <v>26.699118873924053</v>
      </c>
      <c r="N16" s="878">
        <f>SUM(G16:G18)/12/943.6</f>
        <v>0.028947723315500565</v>
      </c>
      <c r="P16" s="899">
        <f>N16+N38</f>
        <v>0.17434510492551353</v>
      </c>
    </row>
    <row r="17" spans="1:14" s="253" customFormat="1" ht="15" customHeight="1">
      <c r="A17" s="89" t="s">
        <v>296</v>
      </c>
      <c r="B17" s="438" t="s">
        <v>307</v>
      </c>
      <c r="C17" s="729">
        <f>'спец инв'!H43</f>
        <v>2251.175</v>
      </c>
      <c r="D17" s="221" t="s">
        <v>298</v>
      </c>
      <c r="E17" s="221" t="s">
        <v>298</v>
      </c>
      <c r="F17" s="701">
        <f>F11</f>
        <v>0.07882531645569621</v>
      </c>
      <c r="G17" s="519">
        <f>C17*F17</f>
        <v>177.44958177215193</v>
      </c>
      <c r="H17" s="245">
        <v>21.86</v>
      </c>
      <c r="I17" s="153"/>
      <c r="J17" s="153">
        <v>6.59</v>
      </c>
      <c r="K17" s="323">
        <f>I12*J17/100</f>
        <v>3.66404</v>
      </c>
      <c r="L17" s="321">
        <f>K17*12</f>
        <v>43.96848</v>
      </c>
      <c r="M17" s="322">
        <f t="shared" si="0"/>
        <v>133.48110177215193</v>
      </c>
      <c r="N17" s="31"/>
    </row>
    <row r="18" spans="1:14" s="253" customFormat="1" ht="15" customHeight="1" thickBot="1">
      <c r="A18" s="367" t="s">
        <v>294</v>
      </c>
      <c r="B18" s="462" t="s">
        <v>300</v>
      </c>
      <c r="C18" s="729">
        <f>'спец инв'!H44</f>
        <v>1.9080000000000001</v>
      </c>
      <c r="D18" s="250">
        <f>D9</f>
        <v>55.6</v>
      </c>
      <c r="E18" s="250" t="s">
        <v>298</v>
      </c>
      <c r="F18" s="448" t="s">
        <v>298</v>
      </c>
      <c r="G18" s="706">
        <f>C18*D18</f>
        <v>106.08480000000002</v>
      </c>
      <c r="H18" s="245"/>
      <c r="I18" s="153"/>
      <c r="J18" s="153"/>
      <c r="K18" s="323"/>
      <c r="L18" s="321"/>
      <c r="M18" s="322"/>
      <c r="N18" s="31"/>
    </row>
    <row r="19" spans="1:14" s="4" customFormat="1" ht="30.75" customHeight="1" thickBot="1">
      <c r="A19" s="313" t="s">
        <v>385</v>
      </c>
      <c r="B19" s="463"/>
      <c r="C19" s="479" t="s">
        <v>298</v>
      </c>
      <c r="D19" s="486" t="s">
        <v>298</v>
      </c>
      <c r="E19" s="486" t="s">
        <v>298</v>
      </c>
      <c r="F19" s="486" t="s">
        <v>298</v>
      </c>
      <c r="G19" s="707">
        <f>G14+G15+G16+G17+G18</f>
        <v>6699.3452436868865</v>
      </c>
      <c r="H19" s="266"/>
      <c r="I19" s="119"/>
      <c r="J19" s="186">
        <f>SUM(J14:J18)</f>
        <v>724.13</v>
      </c>
      <c r="K19" s="186">
        <f>SUM(K14:K18)</f>
        <v>402.61628</v>
      </c>
      <c r="L19" s="187">
        <f>SUM(L14:L18)</f>
        <v>4831.395359999999</v>
      </c>
      <c r="M19" s="175">
        <f t="shared" si="0"/>
        <v>1867.949883686888</v>
      </c>
      <c r="N19"/>
    </row>
    <row r="20" spans="1:14" s="1" customFormat="1" ht="15" customHeight="1">
      <c r="A20" s="179" t="s">
        <v>7</v>
      </c>
      <c r="B20" s="303"/>
      <c r="C20" s="481"/>
      <c r="D20" s="493"/>
      <c r="E20" s="493"/>
      <c r="F20" s="493"/>
      <c r="G20" s="708"/>
      <c r="H20" s="251" t="s">
        <v>164</v>
      </c>
      <c r="I20" s="18"/>
      <c r="J20" s="7" t="s">
        <v>162</v>
      </c>
      <c r="K20" s="7" t="s">
        <v>8</v>
      </c>
      <c r="L20" s="13" t="s">
        <v>9</v>
      </c>
      <c r="M20" s="112"/>
      <c r="N20"/>
    </row>
    <row r="21" spans="1:14" s="1" customFormat="1" ht="15" customHeight="1">
      <c r="A21" s="88" t="s">
        <v>436</v>
      </c>
      <c r="B21" s="17"/>
      <c r="C21" s="477"/>
      <c r="D21" s="221"/>
      <c r="E21" s="221"/>
      <c r="F21" s="221"/>
      <c r="G21" s="702"/>
      <c r="H21" s="263"/>
      <c r="I21" s="7"/>
      <c r="J21" s="7"/>
      <c r="K21" s="7"/>
      <c r="L21" s="13"/>
      <c r="M21" s="17"/>
      <c r="N21"/>
    </row>
    <row r="22" spans="1:14" s="1" customFormat="1" ht="15" customHeight="1">
      <c r="A22" s="443" t="s">
        <v>424</v>
      </c>
      <c r="B22" s="464"/>
      <c r="C22" s="477" t="s">
        <v>298</v>
      </c>
      <c r="D22" s="449">
        <f>'Исход дан'!D35</f>
        <v>206.1</v>
      </c>
      <c r="E22" s="449">
        <v>3630</v>
      </c>
      <c r="F22" s="684">
        <f>D22/E22</f>
        <v>0.05677685950413223</v>
      </c>
      <c r="G22" s="709"/>
      <c r="H22" s="267">
        <v>6.5</v>
      </c>
      <c r="I22" s="225">
        <f>D22</f>
        <v>206.1</v>
      </c>
      <c r="J22" s="225">
        <v>215.67</v>
      </c>
      <c r="K22" s="226">
        <f>J22*I22/100</f>
        <v>444.49586999999997</v>
      </c>
      <c r="L22" s="229">
        <f>K22*H22</f>
        <v>2889.2231549999997</v>
      </c>
      <c r="M22" s="227"/>
      <c r="N22"/>
    </row>
    <row r="23" spans="1:16" s="1" customFormat="1" ht="15" customHeight="1">
      <c r="A23" s="443" t="s">
        <v>425</v>
      </c>
      <c r="B23" s="464"/>
      <c r="C23" s="477" t="s">
        <v>298</v>
      </c>
      <c r="D23" s="449">
        <f>'Исход дан'!D36</f>
        <v>0</v>
      </c>
      <c r="E23" s="449">
        <v>3080</v>
      </c>
      <c r="F23" s="684">
        <f>D23/E23</f>
        <v>0</v>
      </c>
      <c r="G23" s="709"/>
      <c r="H23" s="268">
        <v>5.5</v>
      </c>
      <c r="I23" s="223">
        <f>I22</f>
        <v>206.1</v>
      </c>
      <c r="J23" s="223">
        <v>650.95</v>
      </c>
      <c r="K23" s="224">
        <f>J23*I23/100</f>
        <v>1341.60795</v>
      </c>
      <c r="L23" s="230">
        <f>K23*H23</f>
        <v>7378.843725000001</v>
      </c>
      <c r="M23" s="228"/>
      <c r="N23"/>
      <c r="P23" s="1" t="s">
        <v>435</v>
      </c>
    </row>
    <row r="24" spans="1:14" s="1" customFormat="1" ht="15" customHeight="1">
      <c r="A24" s="443" t="s">
        <v>426</v>
      </c>
      <c r="B24" s="464"/>
      <c r="C24" s="477" t="s">
        <v>298</v>
      </c>
      <c r="D24" s="449">
        <f>'Исход дан'!D37</f>
        <v>0</v>
      </c>
      <c r="E24" s="449">
        <v>2500</v>
      </c>
      <c r="F24" s="684">
        <f>D24/E24</f>
        <v>0</v>
      </c>
      <c r="G24" s="709"/>
      <c r="H24" s="263"/>
      <c r="I24" s="7"/>
      <c r="J24" s="7"/>
      <c r="K24" s="10"/>
      <c r="L24" s="122"/>
      <c r="M24" s="17"/>
      <c r="N24"/>
    </row>
    <row r="25" spans="1:14" s="1" customFormat="1" ht="15" customHeight="1">
      <c r="A25" s="443"/>
      <c r="B25" s="464"/>
      <c r="C25" s="477"/>
      <c r="D25" s="449"/>
      <c r="E25" s="449"/>
      <c r="F25" s="730"/>
      <c r="G25" s="709"/>
      <c r="H25" s="263"/>
      <c r="I25" s="7"/>
      <c r="J25" s="7"/>
      <c r="K25" s="10"/>
      <c r="L25" s="122"/>
      <c r="M25" s="17"/>
      <c r="N25"/>
    </row>
    <row r="26" spans="1:14" s="1" customFormat="1" ht="15" customHeight="1">
      <c r="A26" s="443" t="s">
        <v>427</v>
      </c>
      <c r="B26" s="464"/>
      <c r="C26" s="477" t="s">
        <v>298</v>
      </c>
      <c r="D26" s="449">
        <f>'Исход дан'!D38</f>
        <v>229.1</v>
      </c>
      <c r="E26" s="449">
        <v>2340</v>
      </c>
      <c r="F26" s="684">
        <f>D26/E26</f>
        <v>0.0979059829059829</v>
      </c>
      <c r="G26" s="709"/>
      <c r="H26" s="267">
        <v>6.5</v>
      </c>
      <c r="I26" s="225">
        <f>D26</f>
        <v>229.1</v>
      </c>
      <c r="J26" s="225">
        <v>279.99</v>
      </c>
      <c r="K26" s="226">
        <f>J26*I26/100</f>
        <v>641.45709</v>
      </c>
      <c r="L26" s="229">
        <f>K26*H26</f>
        <v>4169.471085</v>
      </c>
      <c r="M26" s="227"/>
      <c r="N26"/>
    </row>
    <row r="27" spans="1:14" s="1" customFormat="1" ht="15" customHeight="1">
      <c r="A27" s="443" t="s">
        <v>428</v>
      </c>
      <c r="B27" s="464"/>
      <c r="C27" s="477" t="s">
        <v>298</v>
      </c>
      <c r="D27" s="449">
        <f>'Исход дан'!D39</f>
        <v>0</v>
      </c>
      <c r="E27" s="449">
        <v>1980</v>
      </c>
      <c r="F27" s="684">
        <f>D27/E27</f>
        <v>0</v>
      </c>
      <c r="G27" s="709"/>
      <c r="H27" s="268">
        <v>5.5</v>
      </c>
      <c r="I27" s="223">
        <f>I26</f>
        <v>229.1</v>
      </c>
      <c r="J27" s="223">
        <v>931.98</v>
      </c>
      <c r="K27" s="224">
        <f>J27*I27/100</f>
        <v>2135.1661799999997</v>
      </c>
      <c r="L27" s="230">
        <f>K27*H27</f>
        <v>11743.41399</v>
      </c>
      <c r="M27" s="228"/>
      <c r="N27"/>
    </row>
    <row r="28" spans="1:14" s="1" customFormat="1" ht="15" customHeight="1">
      <c r="A28" s="443" t="s">
        <v>429</v>
      </c>
      <c r="B28" s="464"/>
      <c r="C28" s="477" t="s">
        <v>298</v>
      </c>
      <c r="D28" s="449">
        <f>'Исход дан'!D40</f>
        <v>0</v>
      </c>
      <c r="E28" s="449">
        <v>1610</v>
      </c>
      <c r="F28" s="684">
        <f>D28/E28</f>
        <v>0</v>
      </c>
      <c r="G28" s="709"/>
      <c r="H28" s="263"/>
      <c r="I28" s="7"/>
      <c r="J28" s="7"/>
      <c r="K28" s="10"/>
      <c r="L28" s="122"/>
      <c r="M28" s="17"/>
      <c r="N28"/>
    </row>
    <row r="29" spans="1:14" s="1" customFormat="1" ht="15" customHeight="1">
      <c r="A29" s="443"/>
      <c r="B29" s="464"/>
      <c r="C29" s="477"/>
      <c r="D29" s="449"/>
      <c r="E29" s="449"/>
      <c r="F29" s="730"/>
      <c r="G29" s="709"/>
      <c r="H29" s="263"/>
      <c r="I29" s="7"/>
      <c r="J29" s="7"/>
      <c r="K29" s="10"/>
      <c r="L29" s="122"/>
      <c r="M29" s="17"/>
      <c r="N29"/>
    </row>
    <row r="30" spans="1:14" s="1" customFormat="1" ht="15" customHeight="1">
      <c r="A30" s="443" t="s">
        <v>430</v>
      </c>
      <c r="B30" s="464"/>
      <c r="C30" s="477" t="s">
        <v>298</v>
      </c>
      <c r="D30" s="449">
        <f>'Исход дан'!D41</f>
        <v>733.9</v>
      </c>
      <c r="E30" s="449">
        <v>30000</v>
      </c>
      <c r="F30" s="684">
        <f>D30/E30</f>
        <v>0.024463333333333333</v>
      </c>
      <c r="G30" s="709"/>
      <c r="H30" s="267">
        <v>6.5</v>
      </c>
      <c r="I30" s="225">
        <f>D30</f>
        <v>733.9</v>
      </c>
      <c r="J30" s="225">
        <v>77.76</v>
      </c>
      <c r="K30" s="226">
        <f>J30*I30/100</f>
        <v>570.68064</v>
      </c>
      <c r="L30" s="229">
        <f>K30*H30</f>
        <v>3709.4241600000005</v>
      </c>
      <c r="M30" s="227"/>
      <c r="N30"/>
    </row>
    <row r="31" spans="1:14" s="5" customFormat="1" ht="15" customHeight="1">
      <c r="A31" s="444" t="s">
        <v>434</v>
      </c>
      <c r="B31" s="465" t="s">
        <v>295</v>
      </c>
      <c r="C31" s="477" t="s">
        <v>298</v>
      </c>
      <c r="D31" s="221" t="s">
        <v>298</v>
      </c>
      <c r="E31" s="221" t="s">
        <v>298</v>
      </c>
      <c r="F31" s="731">
        <f>F22+F23+F24+F26+F27+F28+F30</f>
        <v>0.17914617574344846</v>
      </c>
      <c r="G31" s="489"/>
      <c r="H31" s="269"/>
      <c r="I31" s="232"/>
      <c r="J31" s="232"/>
      <c r="K31" s="231"/>
      <c r="L31" s="234" t="e">
        <f>L23+L27+#REF!+#REF!</f>
        <v>#REF!</v>
      </c>
      <c r="M31" s="233"/>
      <c r="N31"/>
    </row>
    <row r="32" spans="1:13" s="31" customFormat="1" ht="15" customHeight="1" thickBot="1">
      <c r="A32" s="445" t="s">
        <v>379</v>
      </c>
      <c r="B32" s="466"/>
      <c r="C32" s="477" t="s">
        <v>298</v>
      </c>
      <c r="D32" s="221" t="s">
        <v>298</v>
      </c>
      <c r="E32" s="221" t="s">
        <v>298</v>
      </c>
      <c r="F32" s="732">
        <v>1.12</v>
      </c>
      <c r="G32" s="710"/>
      <c r="H32" s="245"/>
      <c r="I32" s="32"/>
      <c r="J32" s="32"/>
      <c r="K32" s="84"/>
      <c r="L32" s="102"/>
      <c r="M32" s="324"/>
    </row>
    <row r="33" spans="1:14" s="5" customFormat="1" ht="18.75" customHeight="1" thickBot="1">
      <c r="A33" s="373" t="s">
        <v>432</v>
      </c>
      <c r="B33" s="460"/>
      <c r="C33" s="480" t="s">
        <v>298</v>
      </c>
      <c r="D33" s="450" t="s">
        <v>298</v>
      </c>
      <c r="E33" s="450" t="s">
        <v>298</v>
      </c>
      <c r="F33" s="559">
        <f>F31*F32</f>
        <v>0.2006437168326623</v>
      </c>
      <c r="G33" s="378"/>
      <c r="H33" s="270"/>
      <c r="I33" s="188"/>
      <c r="J33" s="188"/>
      <c r="K33" s="190"/>
      <c r="L33" s="189"/>
      <c r="M33" s="191"/>
      <c r="N33"/>
    </row>
    <row r="34" spans="1:14" ht="24.75" customHeight="1">
      <c r="A34" s="312" t="s">
        <v>386</v>
      </c>
      <c r="B34" s="112" t="s">
        <v>301</v>
      </c>
      <c r="C34" s="793">
        <f>3500*1.25*1.06*1.06</f>
        <v>4915.75</v>
      </c>
      <c r="D34" s="221" t="s">
        <v>298</v>
      </c>
      <c r="E34" s="221" t="s">
        <v>298</v>
      </c>
      <c r="F34" s="683">
        <f>F33</f>
        <v>0.2006437168326623</v>
      </c>
      <c r="G34" s="711">
        <f>C34*F34*12</f>
        <v>11835.772212241916</v>
      </c>
      <c r="H34" s="263">
        <f>C34</f>
        <v>4915.75</v>
      </c>
      <c r="I34" s="7"/>
      <c r="J34" s="7"/>
      <c r="K34" s="82"/>
      <c r="L34" s="105"/>
      <c r="M34" s="109"/>
      <c r="N34" s="372"/>
    </row>
    <row r="35" spans="1:13" ht="15" customHeight="1" thickBot="1">
      <c r="A35" s="92" t="s">
        <v>5</v>
      </c>
      <c r="B35" s="459" t="s">
        <v>196</v>
      </c>
      <c r="C35" s="482">
        <v>0.19</v>
      </c>
      <c r="D35" s="221" t="s">
        <v>298</v>
      </c>
      <c r="E35" s="221" t="s">
        <v>298</v>
      </c>
      <c r="F35" s="221" t="s">
        <v>298</v>
      </c>
      <c r="G35" s="712">
        <f>G34*C35</f>
        <v>2248.796720325964</v>
      </c>
      <c r="H35" s="271">
        <v>0.5</v>
      </c>
      <c r="I35" s="12"/>
      <c r="J35" s="12"/>
      <c r="K35" s="94"/>
      <c r="L35" s="106"/>
      <c r="M35" s="178"/>
    </row>
    <row r="36" spans="1:14" s="5" customFormat="1" ht="15" customHeight="1" thickBot="1">
      <c r="A36" s="376" t="s">
        <v>10</v>
      </c>
      <c r="B36" s="467" t="s">
        <v>438</v>
      </c>
      <c r="C36" s="478" t="s">
        <v>298</v>
      </c>
      <c r="D36" s="476" t="s">
        <v>298</v>
      </c>
      <c r="E36" s="476" t="s">
        <v>298</v>
      </c>
      <c r="F36" s="476" t="s">
        <v>298</v>
      </c>
      <c r="G36" s="490">
        <f>G34+G35</f>
        <v>14084.56893256788</v>
      </c>
      <c r="H36" s="272"/>
      <c r="I36" s="116"/>
      <c r="J36" s="116"/>
      <c r="K36" s="176"/>
      <c r="L36" s="180"/>
      <c r="M36" s="181"/>
      <c r="N36" s="878">
        <f>G36/12/943.6</f>
        <v>1.243868246835513</v>
      </c>
    </row>
    <row r="37" spans="1:14" s="22" customFormat="1" ht="15" customHeight="1" thickBot="1">
      <c r="A37" s="445" t="s">
        <v>13</v>
      </c>
      <c r="B37" s="466" t="s">
        <v>196</v>
      </c>
      <c r="C37" s="483">
        <v>0.202</v>
      </c>
      <c r="D37" s="221" t="s">
        <v>298</v>
      </c>
      <c r="E37" s="221" t="s">
        <v>298</v>
      </c>
      <c r="F37" s="221" t="s">
        <v>298</v>
      </c>
      <c r="G37" s="713">
        <f>G36*C37</f>
        <v>2845.082924378712</v>
      </c>
      <c r="H37" s="335">
        <v>0.262</v>
      </c>
      <c r="I37" s="333"/>
      <c r="J37" s="333"/>
      <c r="K37" s="334"/>
      <c r="L37" s="336"/>
      <c r="M37" s="337"/>
      <c r="N37" s="878">
        <f>G37/12/943.6</f>
        <v>0.2512613858607736</v>
      </c>
    </row>
    <row r="38" spans="1:14" s="22" customFormat="1" ht="15" customHeight="1" thickBot="1">
      <c r="A38" s="445" t="s">
        <v>302</v>
      </c>
      <c r="B38" s="438" t="s">
        <v>307</v>
      </c>
      <c r="C38" s="729">
        <f>'спец инв'!H22</f>
        <v>1246.242</v>
      </c>
      <c r="D38" s="449" t="s">
        <v>298</v>
      </c>
      <c r="E38" s="449" t="s">
        <v>298</v>
      </c>
      <c r="F38" s="684">
        <f>F33</f>
        <v>0.2006437168326623</v>
      </c>
      <c r="G38" s="714">
        <f>C38*F38</f>
        <v>250.05062695297073</v>
      </c>
      <c r="H38" s="328"/>
      <c r="I38" s="327"/>
      <c r="J38" s="327"/>
      <c r="K38" s="327"/>
      <c r="L38" s="325"/>
      <c r="M38" s="329"/>
      <c r="N38" s="878">
        <f>SUM(G38:G41)/12/943.6</f>
        <v>0.14539738161001298</v>
      </c>
    </row>
    <row r="39" spans="1:13" s="22" customFormat="1" ht="15" customHeight="1" thickBot="1">
      <c r="A39" s="445" t="s">
        <v>303</v>
      </c>
      <c r="B39" s="438" t="s">
        <v>307</v>
      </c>
      <c r="C39" s="729">
        <f>'спец инв'!H69</f>
        <v>2813.9908333333333</v>
      </c>
      <c r="D39" s="449" t="s">
        <v>298</v>
      </c>
      <c r="E39" s="449" t="s">
        <v>298</v>
      </c>
      <c r="F39" s="684">
        <f>F33</f>
        <v>0.2006437168326623</v>
      </c>
      <c r="G39" s="714">
        <f>C39*F39</f>
        <v>564.6095799330408</v>
      </c>
      <c r="H39" s="328"/>
      <c r="I39" s="330"/>
      <c r="J39" s="327"/>
      <c r="K39" s="327"/>
      <c r="L39" s="325"/>
      <c r="M39" s="329"/>
    </row>
    <row r="40" spans="1:13" s="22" customFormat="1" ht="15" customHeight="1" thickBot="1">
      <c r="A40" s="445" t="s">
        <v>304</v>
      </c>
      <c r="B40" s="438" t="s">
        <v>307</v>
      </c>
      <c r="C40" s="729">
        <f>'спец инв'!H56</f>
        <v>2528.20865</v>
      </c>
      <c r="D40" s="449" t="s">
        <v>298</v>
      </c>
      <c r="E40" s="449" t="s">
        <v>298</v>
      </c>
      <c r="F40" s="684">
        <f>F33</f>
        <v>0.2006437168326623</v>
      </c>
      <c r="G40" s="714">
        <f>C40*F40</f>
        <v>507.2691804644874</v>
      </c>
      <c r="H40" s="328"/>
      <c r="I40" s="330"/>
      <c r="J40" s="327"/>
      <c r="K40" s="327"/>
      <c r="L40" s="325"/>
      <c r="M40" s="329"/>
    </row>
    <row r="41" spans="1:13" s="22" customFormat="1" ht="15" customHeight="1" thickBot="1">
      <c r="A41" s="445" t="s">
        <v>305</v>
      </c>
      <c r="B41" s="438" t="s">
        <v>411</v>
      </c>
      <c r="C41" s="484" t="s">
        <v>298</v>
      </c>
      <c r="D41" s="449" t="s">
        <v>298</v>
      </c>
      <c r="E41" s="449" t="s">
        <v>298</v>
      </c>
      <c r="F41" s="449" t="s">
        <v>298</v>
      </c>
      <c r="G41" s="714">
        <f>'спец инв'!K71</f>
        <v>324.43424409600004</v>
      </c>
      <c r="H41" s="332"/>
      <c r="I41" s="326"/>
      <c r="J41" s="327"/>
      <c r="K41" s="327"/>
      <c r="L41" s="331"/>
      <c r="M41" s="329"/>
    </row>
    <row r="42" spans="1:14" s="5" customFormat="1" ht="30.75" customHeight="1" thickBot="1">
      <c r="A42" s="313" t="s">
        <v>389</v>
      </c>
      <c r="B42" s="463"/>
      <c r="C42" s="479" t="s">
        <v>298</v>
      </c>
      <c r="D42" s="486" t="s">
        <v>298</v>
      </c>
      <c r="E42" s="486" t="s">
        <v>298</v>
      </c>
      <c r="F42" s="486" t="s">
        <v>298</v>
      </c>
      <c r="G42" s="715">
        <f>G36+G37+G38+G39+G40+G41</f>
        <v>18576.01548839309</v>
      </c>
      <c r="H42" s="272"/>
      <c r="I42" s="116"/>
      <c r="J42" s="116"/>
      <c r="K42" s="176" t="e">
        <f>L42/12</f>
        <v>#REF!</v>
      </c>
      <c r="L42" s="177" t="e">
        <f>#REF!+L31</f>
        <v>#REF!</v>
      </c>
      <c r="M42" s="109" t="e">
        <f>G42-L42</f>
        <v>#REF!</v>
      </c>
      <c r="N42"/>
    </row>
    <row r="43" spans="1:14" s="2" customFormat="1" ht="15" customHeight="1">
      <c r="A43" s="179" t="s">
        <v>11</v>
      </c>
      <c r="B43" s="303"/>
      <c r="C43" s="481"/>
      <c r="D43" s="493"/>
      <c r="E43" s="493"/>
      <c r="F43" s="295"/>
      <c r="G43" s="708"/>
      <c r="H43" s="251"/>
      <c r="I43" s="18"/>
      <c r="J43" s="18"/>
      <c r="K43" s="18"/>
      <c r="L43" s="96"/>
      <c r="M43" s="112"/>
      <c r="N43"/>
    </row>
    <row r="44" spans="1:14" s="1" customFormat="1" ht="27.75" customHeight="1">
      <c r="A44" s="88" t="s">
        <v>390</v>
      </c>
      <c r="B44" s="17"/>
      <c r="C44" s="449" t="s">
        <v>298</v>
      </c>
      <c r="D44" s="221">
        <f>'Исход дан'!D7</f>
        <v>56</v>
      </c>
      <c r="E44" s="221"/>
      <c r="F44" s="684" t="e">
        <f>D44/E44</f>
        <v>#DIV/0!</v>
      </c>
      <c r="G44" s="702"/>
      <c r="H44" s="263"/>
      <c r="I44" s="7">
        <v>0</v>
      </c>
      <c r="J44" s="7">
        <v>0.23</v>
      </c>
      <c r="K44" s="93">
        <f>I44*J44</f>
        <v>0</v>
      </c>
      <c r="L44" s="13"/>
      <c r="M44" s="17"/>
      <c r="N44"/>
    </row>
    <row r="45" spans="1:14" s="1" customFormat="1" ht="15" customHeight="1">
      <c r="A45" s="89" t="s">
        <v>380</v>
      </c>
      <c r="B45" s="17"/>
      <c r="C45" s="449" t="s">
        <v>298</v>
      </c>
      <c r="D45" s="449" t="s">
        <v>298</v>
      </c>
      <c r="E45" s="449" t="s">
        <v>298</v>
      </c>
      <c r="F45" s="733">
        <v>1.12</v>
      </c>
      <c r="G45" s="702"/>
      <c r="H45" s="263"/>
      <c r="I45" s="7"/>
      <c r="J45" s="7"/>
      <c r="K45" s="85">
        <f>10/249*K44</f>
        <v>0</v>
      </c>
      <c r="L45" s="13"/>
      <c r="M45" s="17"/>
      <c r="N45"/>
    </row>
    <row r="46" spans="1:14" s="74" customFormat="1" ht="18.75" customHeight="1">
      <c r="A46" s="380" t="s">
        <v>437</v>
      </c>
      <c r="B46" s="468"/>
      <c r="C46" s="734"/>
      <c r="D46" s="735"/>
      <c r="E46" s="735"/>
      <c r="F46" s="736" t="e">
        <f>F44*F45</f>
        <v>#DIV/0!</v>
      </c>
      <c r="G46" s="716"/>
      <c r="H46" s="355"/>
      <c r="I46" s="354"/>
      <c r="J46" s="354"/>
      <c r="K46" s="356">
        <f>SUM(K44:K45)</f>
        <v>0</v>
      </c>
      <c r="L46" s="357"/>
      <c r="M46" s="358"/>
      <c r="N46" s="260"/>
    </row>
    <row r="47" spans="1:14" s="1" customFormat="1" ht="25.5" customHeight="1">
      <c r="A47" s="88" t="s">
        <v>386</v>
      </c>
      <c r="B47" s="17" t="s">
        <v>301</v>
      </c>
      <c r="C47" s="477"/>
      <c r="D47" s="221" t="s">
        <v>298</v>
      </c>
      <c r="E47" s="221" t="s">
        <v>298</v>
      </c>
      <c r="F47" s="683" t="e">
        <f>F46</f>
        <v>#DIV/0!</v>
      </c>
      <c r="G47" s="705" t="e">
        <f>C47*F47*12</f>
        <v>#DIV/0!</v>
      </c>
      <c r="H47" s="263">
        <f>C47</f>
        <v>0</v>
      </c>
      <c r="I47" s="7">
        <v>0</v>
      </c>
      <c r="J47" s="7">
        <v>675.64</v>
      </c>
      <c r="K47" s="82">
        <f>I47*J47</f>
        <v>0</v>
      </c>
      <c r="L47" s="99">
        <f>K47*12</f>
        <v>0</v>
      </c>
      <c r="M47" s="109" t="e">
        <f aca="true" t="shared" si="1" ref="M47:M60">G47-L47</f>
        <v>#DIV/0!</v>
      </c>
      <c r="N47"/>
    </row>
    <row r="48" spans="1:14" s="1" customFormat="1" ht="15" customHeight="1">
      <c r="A48" s="88" t="s">
        <v>5</v>
      </c>
      <c r="B48" s="17" t="s">
        <v>196</v>
      </c>
      <c r="C48" s="727"/>
      <c r="D48" s="221" t="s">
        <v>298</v>
      </c>
      <c r="E48" s="221" t="s">
        <v>298</v>
      </c>
      <c r="F48" s="221" t="s">
        <v>298</v>
      </c>
      <c r="G48" s="705" t="e">
        <f>G47*C48</f>
        <v>#DIV/0!</v>
      </c>
      <c r="H48" s="264">
        <f>C48</f>
        <v>0</v>
      </c>
      <c r="I48" s="7">
        <v>0</v>
      </c>
      <c r="J48" s="7">
        <v>270.26</v>
      </c>
      <c r="K48" s="82">
        <f>I48*J48</f>
        <v>0</v>
      </c>
      <c r="L48" s="99">
        <f>K48*12</f>
        <v>0</v>
      </c>
      <c r="M48" s="109" t="e">
        <f t="shared" si="1"/>
        <v>#DIV/0!</v>
      </c>
      <c r="N48"/>
    </row>
    <row r="49" spans="1:14" s="4" customFormat="1" ht="15" customHeight="1">
      <c r="A49" s="376" t="s">
        <v>10</v>
      </c>
      <c r="B49" s="467" t="s">
        <v>438</v>
      </c>
      <c r="C49" s="478" t="s">
        <v>298</v>
      </c>
      <c r="D49" s="476" t="s">
        <v>298</v>
      </c>
      <c r="E49" s="476" t="s">
        <v>298</v>
      </c>
      <c r="F49" s="476" t="s">
        <v>298</v>
      </c>
      <c r="G49" s="490" t="e">
        <f>G47+G48</f>
        <v>#DIV/0!</v>
      </c>
      <c r="H49" s="237"/>
      <c r="I49" s="9"/>
      <c r="J49" s="9"/>
      <c r="K49" s="87">
        <f>SUM(K47:K48)</f>
        <v>0</v>
      </c>
      <c r="L49" s="100">
        <f>SUM(L47:L48)</f>
        <v>0</v>
      </c>
      <c r="M49" s="109" t="e">
        <f t="shared" si="1"/>
        <v>#DIV/0!</v>
      </c>
      <c r="N49"/>
    </row>
    <row r="50" spans="1:14" s="1" customFormat="1" ht="15" customHeight="1">
      <c r="A50" s="88" t="s">
        <v>12</v>
      </c>
      <c r="B50" s="17" t="s">
        <v>196</v>
      </c>
      <c r="C50" s="728"/>
      <c r="D50" s="221" t="s">
        <v>298</v>
      </c>
      <c r="E50" s="221" t="s">
        <v>298</v>
      </c>
      <c r="F50" s="221" t="s">
        <v>298</v>
      </c>
      <c r="G50" s="705" t="e">
        <f>G49*C50</f>
        <v>#DIV/0!</v>
      </c>
      <c r="H50" s="265">
        <v>0.262</v>
      </c>
      <c r="I50" s="7">
        <v>0</v>
      </c>
      <c r="J50" s="7">
        <v>299.64</v>
      </c>
      <c r="K50" s="82">
        <f>I50*J50</f>
        <v>0</v>
      </c>
      <c r="L50" s="101">
        <f>K50*12</f>
        <v>0</v>
      </c>
      <c r="M50" s="109" t="e">
        <f t="shared" si="1"/>
        <v>#DIV/0!</v>
      </c>
      <c r="N50"/>
    </row>
    <row r="51" spans="1:14" s="33" customFormat="1" ht="15" customHeight="1">
      <c r="A51" s="90" t="s">
        <v>6</v>
      </c>
      <c r="B51" s="438" t="s">
        <v>307</v>
      </c>
      <c r="C51" s="729">
        <f>'спец инв'!H30</f>
        <v>0</v>
      </c>
      <c r="D51" s="451" t="s">
        <v>298</v>
      </c>
      <c r="E51" s="451" t="s">
        <v>298</v>
      </c>
      <c r="F51" s="742" t="e">
        <f>F46</f>
        <v>#DIV/0!</v>
      </c>
      <c r="G51" s="491" t="e">
        <f>C51*F51</f>
        <v>#DIV/0!</v>
      </c>
      <c r="H51" s="273"/>
      <c r="I51" s="7">
        <v>0</v>
      </c>
      <c r="J51" s="35">
        <v>8.91</v>
      </c>
      <c r="K51" s="82">
        <f>I51*J51</f>
        <v>0</v>
      </c>
      <c r="L51" s="101">
        <f>K51*12</f>
        <v>0</v>
      </c>
      <c r="M51" s="109" t="e">
        <f t="shared" si="1"/>
        <v>#DIV/0!</v>
      </c>
      <c r="N51"/>
    </row>
    <row r="52" spans="1:14" s="33" customFormat="1" ht="15" customHeight="1">
      <c r="A52" s="90" t="s">
        <v>25</v>
      </c>
      <c r="B52" s="438" t="s">
        <v>307</v>
      </c>
      <c r="C52" s="737">
        <f>'спец инв'!H79</f>
        <v>0</v>
      </c>
      <c r="D52" s="451" t="s">
        <v>298</v>
      </c>
      <c r="E52" s="451" t="s">
        <v>298</v>
      </c>
      <c r="F52" s="742" t="e">
        <f>F46</f>
        <v>#DIV/0!</v>
      </c>
      <c r="G52" s="491" t="e">
        <f>C52*F52</f>
        <v>#DIV/0!</v>
      </c>
      <c r="H52" s="273"/>
      <c r="I52" s="7">
        <v>0</v>
      </c>
      <c r="J52" s="35">
        <v>116.64</v>
      </c>
      <c r="K52" s="82">
        <f>I52*J52</f>
        <v>0</v>
      </c>
      <c r="L52" s="101">
        <f>K52*12</f>
        <v>0</v>
      </c>
      <c r="M52" s="109" t="e">
        <f t="shared" si="1"/>
        <v>#DIV/0!</v>
      </c>
      <c r="N52"/>
    </row>
    <row r="53" spans="1:14" s="33" customFormat="1" ht="15" customHeight="1" thickBot="1">
      <c r="A53" s="377" t="s">
        <v>55</v>
      </c>
      <c r="B53" s="469"/>
      <c r="C53" s="738" t="s">
        <v>298</v>
      </c>
      <c r="D53" s="451" t="s">
        <v>298</v>
      </c>
      <c r="E53" s="451" t="s">
        <v>298</v>
      </c>
      <c r="F53" s="221" t="s">
        <v>298</v>
      </c>
      <c r="G53" s="706">
        <f>'спец инв'!K95</f>
        <v>0</v>
      </c>
      <c r="H53" s="273"/>
      <c r="I53" s="7">
        <v>0</v>
      </c>
      <c r="J53" s="35"/>
      <c r="K53" s="82">
        <f>I53*J53</f>
        <v>0</v>
      </c>
      <c r="L53" s="101">
        <f>K53*12</f>
        <v>0</v>
      </c>
      <c r="M53" s="109">
        <f t="shared" si="1"/>
        <v>0</v>
      </c>
      <c r="N53"/>
    </row>
    <row r="54" spans="1:14" s="5" customFormat="1" ht="27.75" customHeight="1" thickBot="1">
      <c r="A54" s="313" t="s">
        <v>387</v>
      </c>
      <c r="B54" s="463"/>
      <c r="C54" s="479" t="s">
        <v>298</v>
      </c>
      <c r="D54" s="486" t="s">
        <v>298</v>
      </c>
      <c r="E54" s="486" t="s">
        <v>298</v>
      </c>
      <c r="F54" s="486" t="s">
        <v>298</v>
      </c>
      <c r="G54" s="717" t="e">
        <f>G49+G50+G51+G52+G53</f>
        <v>#DIV/0!</v>
      </c>
      <c r="H54" s="275"/>
      <c r="I54" s="80"/>
      <c r="J54" s="80">
        <f>SUM(J47:J53)</f>
        <v>1371.0900000000001</v>
      </c>
      <c r="K54" s="247">
        <f>SUM(K49:K53)</f>
        <v>0</v>
      </c>
      <c r="L54" s="248">
        <f>SUM(L49:L53)</f>
        <v>0</v>
      </c>
      <c r="M54" s="181" t="e">
        <f t="shared" si="1"/>
        <v>#DIV/0!</v>
      </c>
      <c r="N54"/>
    </row>
    <row r="55" spans="1:14" s="21" customFormat="1" ht="15" customHeight="1" thickBot="1">
      <c r="A55" s="474" t="str">
        <f>'спец инв'!A96</f>
        <v>Мыло хозяйственное</v>
      </c>
      <c r="B55" s="470"/>
      <c r="C55" s="738" t="s">
        <v>298</v>
      </c>
      <c r="D55" s="451" t="s">
        <v>298</v>
      </c>
      <c r="E55" s="451" t="s">
        <v>298</v>
      </c>
      <c r="F55" s="221" t="s">
        <v>298</v>
      </c>
      <c r="G55" s="718">
        <f>'спец инв'!K96</f>
        <v>46.068</v>
      </c>
      <c r="H55" s="361"/>
      <c r="I55" s="359"/>
      <c r="J55" s="359"/>
      <c r="K55" s="360"/>
      <c r="L55" s="362"/>
      <c r="M55" s="363"/>
      <c r="N55" s="364"/>
    </row>
    <row r="56" spans="1:14" s="21" customFormat="1" ht="15" customHeight="1" thickBot="1">
      <c r="A56" s="475" t="str">
        <f>'спец инв'!A97</f>
        <v>Эл/лампочки</v>
      </c>
      <c r="B56" s="471"/>
      <c r="C56" s="738" t="s">
        <v>298</v>
      </c>
      <c r="D56" s="451" t="s">
        <v>298</v>
      </c>
      <c r="E56" s="451" t="s">
        <v>298</v>
      </c>
      <c r="F56" s="250" t="s">
        <v>298</v>
      </c>
      <c r="G56" s="706">
        <f>'спец инв'!K97</f>
        <v>270</v>
      </c>
      <c r="H56" s="361"/>
      <c r="I56" s="359"/>
      <c r="J56" s="359"/>
      <c r="K56" s="360"/>
      <c r="L56" s="362"/>
      <c r="M56" s="363"/>
      <c r="N56" s="364"/>
    </row>
    <row r="57" spans="1:14" s="21" customFormat="1" ht="15" customHeight="1" thickBot="1">
      <c r="A57" s="446" t="str">
        <f>'спец инв'!A98</f>
        <v>Лампа над подъездом</v>
      </c>
      <c r="B57" s="472"/>
      <c r="C57" s="739" t="s">
        <v>298</v>
      </c>
      <c r="D57" s="458" t="s">
        <v>298</v>
      </c>
      <c r="E57" s="458" t="s">
        <v>298</v>
      </c>
      <c r="F57" s="221" t="s">
        <v>298</v>
      </c>
      <c r="G57" s="519">
        <f>'спец инв'!K98</f>
        <v>120</v>
      </c>
      <c r="H57" s="361"/>
      <c r="I57" s="359"/>
      <c r="J57" s="359"/>
      <c r="K57" s="360"/>
      <c r="L57" s="362"/>
      <c r="M57" s="363"/>
      <c r="N57" s="364"/>
    </row>
    <row r="58" spans="1:16" s="21" customFormat="1" ht="15" customHeight="1" thickBot="1">
      <c r="A58" s="446" t="s">
        <v>516</v>
      </c>
      <c r="B58" s="472"/>
      <c r="C58" s="739"/>
      <c r="D58" s="458"/>
      <c r="E58" s="458"/>
      <c r="F58" s="221"/>
      <c r="G58" s="519">
        <v>2394.7</v>
      </c>
      <c r="H58" s="361"/>
      <c r="I58" s="359"/>
      <c r="J58" s="359"/>
      <c r="K58" s="360"/>
      <c r="L58" s="362"/>
      <c r="M58" s="363"/>
      <c r="N58" s="364">
        <f>1300+429.11</f>
        <v>1729.1100000000001</v>
      </c>
      <c r="P58" s="22">
        <v>-2692.48</v>
      </c>
    </row>
    <row r="59" spans="1:16" s="21" customFormat="1" ht="29.25" customHeight="1" thickBot="1">
      <c r="A59" s="457" t="s">
        <v>388</v>
      </c>
      <c r="B59" s="467" t="s">
        <v>438</v>
      </c>
      <c r="C59" s="485" t="s">
        <v>298</v>
      </c>
      <c r="D59" s="487" t="s">
        <v>298</v>
      </c>
      <c r="E59" s="487" t="s">
        <v>298</v>
      </c>
      <c r="F59" s="487" t="s">
        <v>298</v>
      </c>
      <c r="G59" s="719">
        <f>G55+G56+G57+G58</f>
        <v>2830.768</v>
      </c>
      <c r="H59" s="361"/>
      <c r="I59" s="359"/>
      <c r="J59" s="359"/>
      <c r="K59" s="360"/>
      <c r="L59" s="362"/>
      <c r="M59" s="363"/>
      <c r="N59" s="364"/>
      <c r="P59" s="22" t="s">
        <v>733</v>
      </c>
    </row>
    <row r="60" spans="1:14" s="5" customFormat="1" ht="31.5" customHeight="1" thickBot="1">
      <c r="A60" s="375" t="s">
        <v>391</v>
      </c>
      <c r="B60" s="473"/>
      <c r="C60" s="740" t="s">
        <v>298</v>
      </c>
      <c r="D60" s="496" t="s">
        <v>298</v>
      </c>
      <c r="E60" s="496" t="s">
        <v>298</v>
      </c>
      <c r="F60" s="497" t="s">
        <v>298</v>
      </c>
      <c r="G60" s="720">
        <f>G19+G42+G59</f>
        <v>28106.12873207998</v>
      </c>
      <c r="H60" s="276"/>
      <c r="I60" s="182"/>
      <c r="J60" s="182"/>
      <c r="K60" s="183" t="e">
        <f>L60/12</f>
        <v>#REF!</v>
      </c>
      <c r="L60" s="184" t="e">
        <f>L19+L42+L54</f>
        <v>#REF!</v>
      </c>
      <c r="M60" s="185" t="e">
        <f t="shared" si="1"/>
        <v>#REF!</v>
      </c>
      <c r="N60"/>
    </row>
    <row r="61" spans="1:14" s="91" customFormat="1" ht="30.75" customHeight="1" thickBot="1">
      <c r="A61" s="494" t="s">
        <v>59</v>
      </c>
      <c r="B61" s="495"/>
      <c r="C61" s="741" t="s">
        <v>298</v>
      </c>
      <c r="D61" s="498" t="s">
        <v>298</v>
      </c>
      <c r="E61" s="498" t="s">
        <v>298</v>
      </c>
      <c r="F61" s="499" t="s">
        <v>298</v>
      </c>
      <c r="G61" s="685">
        <f>G60/D7/12</f>
        <v>2.4821718888724016</v>
      </c>
      <c r="H61" s="194"/>
      <c r="I61" s="125"/>
      <c r="J61" s="193"/>
      <c r="K61" s="192" t="e">
        <f>L60/I7/12</f>
        <v>#REF!</v>
      </c>
      <c r="L61" s="195"/>
      <c r="M61" s="216" t="e">
        <f>F61-K61</f>
        <v>#VALUE!</v>
      </c>
      <c r="N61"/>
    </row>
  </sheetData>
  <sheetProtection/>
  <mergeCells count="6">
    <mergeCell ref="C3:G3"/>
    <mergeCell ref="H3:L3"/>
    <mergeCell ref="N12:P12"/>
    <mergeCell ref="A1:G1"/>
    <mergeCell ref="A3:A4"/>
    <mergeCell ref="B3:B4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B101"/>
  <sheetViews>
    <sheetView zoomScalePageLayoutView="0" workbookViewId="0" topLeftCell="A1">
      <pane xSplit="1" ySplit="5" topLeftCell="B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9" sqref="G9:G98"/>
    </sheetView>
  </sheetViews>
  <sheetFormatPr defaultColWidth="9.00390625" defaultRowHeight="12.75"/>
  <cols>
    <col min="1" max="1" width="25.375" style="30" customWidth="1"/>
    <col min="2" max="2" width="16.00390625" style="155" customWidth="1"/>
    <col min="3" max="3" width="7.125" style="30" bestFit="1" customWidth="1"/>
    <col min="4" max="4" width="6.375" style="30" bestFit="1" customWidth="1"/>
    <col min="5" max="5" width="8.875" style="30" bestFit="1" customWidth="1"/>
    <col min="6" max="6" width="8.875" style="30" customWidth="1"/>
    <col min="7" max="7" width="8.75390625" style="30" bestFit="1" customWidth="1"/>
    <col min="8" max="8" width="10.00390625" style="30" customWidth="1"/>
    <col min="9" max="9" width="9.25390625" style="30" customWidth="1"/>
    <col min="10" max="10" width="10.00390625" style="30" bestFit="1" customWidth="1"/>
    <col min="11" max="11" width="13.875" style="30" bestFit="1" customWidth="1"/>
    <col min="12" max="12" width="10.75390625" style="133" bestFit="1" customWidth="1"/>
    <col min="13" max="13" width="9.125" style="133" customWidth="1"/>
    <col min="14" max="14" width="9.125" style="134" customWidth="1"/>
    <col min="15" max="132" width="9.125" style="135" customWidth="1"/>
  </cols>
  <sheetData>
    <row r="1" spans="1:132" s="27" customFormat="1" ht="20.25" customHeight="1">
      <c r="A1" s="903" t="s">
        <v>761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  <c r="L1" s="130"/>
      <c r="M1" s="130"/>
      <c r="N1" s="131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</row>
    <row r="2" ht="13.5" thickBot="1">
      <c r="A2" s="130" t="s">
        <v>441</v>
      </c>
    </row>
    <row r="3" spans="1:132" s="2" customFormat="1" ht="84" customHeight="1">
      <c r="A3" s="920" t="s">
        <v>0</v>
      </c>
      <c r="B3" s="156" t="s">
        <v>112</v>
      </c>
      <c r="C3" s="916" t="s">
        <v>2</v>
      </c>
      <c r="D3" s="916"/>
      <c r="E3" s="916" t="s">
        <v>271</v>
      </c>
      <c r="F3" s="41" t="s">
        <v>392</v>
      </c>
      <c r="G3" s="126" t="s">
        <v>292</v>
      </c>
      <c r="H3" s="204" t="s">
        <v>291</v>
      </c>
      <c r="I3" s="918" t="s">
        <v>43</v>
      </c>
      <c r="J3" s="919"/>
      <c r="K3" s="204" t="s">
        <v>293</v>
      </c>
      <c r="L3" s="136"/>
      <c r="M3" s="136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</row>
    <row r="4" spans="1:132" s="2" customFormat="1" ht="51.75" thickBot="1">
      <c r="A4" s="921"/>
      <c r="B4" s="157"/>
      <c r="C4" s="530" t="s">
        <v>272</v>
      </c>
      <c r="D4" s="530" t="s">
        <v>14</v>
      </c>
      <c r="E4" s="917"/>
      <c r="F4" s="530" t="s">
        <v>402</v>
      </c>
      <c r="G4" s="531" t="s">
        <v>374</v>
      </c>
      <c r="H4" s="532" t="s">
        <v>403</v>
      </c>
      <c r="I4" s="533" t="s">
        <v>493</v>
      </c>
      <c r="J4" s="531" t="s">
        <v>404</v>
      </c>
      <c r="K4" s="532" t="s">
        <v>405</v>
      </c>
      <c r="L4" s="136"/>
      <c r="M4" s="136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</row>
    <row r="5" spans="1:132" s="28" customFormat="1" ht="14.25" customHeight="1" thickBot="1">
      <c r="A5" s="58">
        <v>1</v>
      </c>
      <c r="B5" s="549">
        <v>2</v>
      </c>
      <c r="C5" s="19">
        <v>3</v>
      </c>
      <c r="D5" s="19">
        <v>4</v>
      </c>
      <c r="E5" s="58">
        <v>5</v>
      </c>
      <c r="F5" s="19">
        <v>6</v>
      </c>
      <c r="G5" s="550">
        <v>7</v>
      </c>
      <c r="H5" s="205">
        <v>8</v>
      </c>
      <c r="I5" s="549">
        <v>9</v>
      </c>
      <c r="J5" s="550">
        <v>10</v>
      </c>
      <c r="K5" s="205">
        <v>11</v>
      </c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</row>
    <row r="6" spans="1:132" s="28" customFormat="1" ht="14.25" customHeight="1">
      <c r="A6" s="548" t="s">
        <v>6</v>
      </c>
      <c r="B6" s="529"/>
      <c r="C6" s="14"/>
      <c r="D6" s="14"/>
      <c r="E6" s="14"/>
      <c r="F6" s="14"/>
      <c r="G6" s="297"/>
      <c r="H6" s="303"/>
      <c r="I6" s="296"/>
      <c r="J6" s="297"/>
      <c r="K6" s="303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</row>
    <row r="7" spans="1:132" s="5" customFormat="1" ht="18" customHeight="1">
      <c r="A7" s="217" t="s">
        <v>1</v>
      </c>
      <c r="B7" s="398"/>
      <c r="C7" s="11"/>
      <c r="D7" s="11"/>
      <c r="E7" s="11"/>
      <c r="F7" s="11"/>
      <c r="G7" s="197"/>
      <c r="H7" s="20"/>
      <c r="I7" s="285">
        <f>'сан содерж'!F11</f>
        <v>0.07882531645569621</v>
      </c>
      <c r="J7" s="409"/>
      <c r="K7" s="20"/>
      <c r="L7" s="118"/>
      <c r="M7" s="118"/>
      <c r="N7" s="118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</row>
    <row r="8" spans="1:11" ht="12.75">
      <c r="A8" s="44"/>
      <c r="B8" s="158"/>
      <c r="C8" s="35"/>
      <c r="D8" s="35"/>
      <c r="E8" s="35"/>
      <c r="F8" s="35"/>
      <c r="G8" s="103"/>
      <c r="H8" s="110"/>
      <c r="I8" s="385"/>
      <c r="J8" s="410"/>
      <c r="K8" s="110"/>
    </row>
    <row r="9" spans="1:11" ht="12.75">
      <c r="A9" s="44" t="s">
        <v>22</v>
      </c>
      <c r="B9" s="158"/>
      <c r="C9" s="35">
        <v>12</v>
      </c>
      <c r="D9" s="35">
        <v>1</v>
      </c>
      <c r="E9" s="35">
        <v>12</v>
      </c>
      <c r="F9" s="35">
        <f>D9/C9*E9</f>
        <v>1</v>
      </c>
      <c r="G9" s="896">
        <f>264.8*1.059</f>
        <v>280.4232</v>
      </c>
      <c r="H9" s="206">
        <f>F9*G9</f>
        <v>280.4232</v>
      </c>
      <c r="I9" s="286">
        <f>I7</f>
        <v>0.07882531645569621</v>
      </c>
      <c r="J9" s="412">
        <f>F9*I9</f>
        <v>0.07882531645569621</v>
      </c>
      <c r="K9" s="206">
        <f>H9*I9</f>
        <v>22.10444748151899</v>
      </c>
    </row>
    <row r="10" spans="1:11" ht="12.75">
      <c r="A10" s="44" t="s">
        <v>17</v>
      </c>
      <c r="B10" s="158"/>
      <c r="C10" s="35">
        <v>12</v>
      </c>
      <c r="D10" s="35">
        <v>6</v>
      </c>
      <c r="E10" s="35">
        <v>12</v>
      </c>
      <c r="F10" s="35">
        <f>D10/C10*E10</f>
        <v>6</v>
      </c>
      <c r="G10" s="103">
        <f>26.5*1.06</f>
        <v>28.09</v>
      </c>
      <c r="H10" s="206">
        <f>F10*G10</f>
        <v>168.54</v>
      </c>
      <c r="I10" s="286">
        <f>I7</f>
        <v>0.07882531645569621</v>
      </c>
      <c r="J10" s="412">
        <f>F10*I10</f>
        <v>0.47295189873417726</v>
      </c>
      <c r="K10" s="206">
        <f>H10*I10</f>
        <v>13.285218835443038</v>
      </c>
    </row>
    <row r="11" spans="1:11" ht="12.75">
      <c r="A11" s="44" t="s">
        <v>15</v>
      </c>
      <c r="B11" s="158"/>
      <c r="C11" s="35">
        <v>12</v>
      </c>
      <c r="D11" s="35">
        <v>1</v>
      </c>
      <c r="E11" s="35">
        <v>12</v>
      </c>
      <c r="F11" s="35">
        <f>D11/C11*E11</f>
        <v>1</v>
      </c>
      <c r="G11" s="103">
        <v>0</v>
      </c>
      <c r="H11" s="206">
        <f>F11*G11</f>
        <v>0</v>
      </c>
      <c r="I11" s="286">
        <f>I7</f>
        <v>0.07882531645569621</v>
      </c>
      <c r="J11" s="412">
        <f>F11*I11</f>
        <v>0.07882531645569621</v>
      </c>
      <c r="K11" s="206">
        <f>H11*I11</f>
        <v>0</v>
      </c>
    </row>
    <row r="12" spans="1:11" ht="13.5" thickBot="1">
      <c r="A12" s="53" t="s">
        <v>16</v>
      </c>
      <c r="B12" s="159"/>
      <c r="C12" s="37">
        <v>12</v>
      </c>
      <c r="D12" s="37">
        <v>4</v>
      </c>
      <c r="E12" s="37">
        <v>12</v>
      </c>
      <c r="F12" s="37">
        <f>D12/C12*E12</f>
        <v>4</v>
      </c>
      <c r="G12" s="104">
        <f>26.5*1.06</f>
        <v>28.09</v>
      </c>
      <c r="H12" s="206">
        <f>F12*G12</f>
        <v>112.36</v>
      </c>
      <c r="I12" s="286">
        <f>I7</f>
        <v>0.07882531645569621</v>
      </c>
      <c r="J12" s="412">
        <f>F12*I12</f>
        <v>0.31530126582278484</v>
      </c>
      <c r="K12" s="206">
        <f>H12*I12</f>
        <v>8.856812556962026</v>
      </c>
    </row>
    <row r="13" spans="1:132" s="5" customFormat="1" ht="18" customHeight="1" thickBot="1">
      <c r="A13" s="49" t="s">
        <v>3</v>
      </c>
      <c r="B13" s="164"/>
      <c r="C13" s="50"/>
      <c r="D13" s="50"/>
      <c r="E13" s="50"/>
      <c r="F13" s="50"/>
      <c r="G13" s="196"/>
      <c r="H13" s="207">
        <f>SUM(H9:H12)</f>
        <v>561.3232</v>
      </c>
      <c r="I13" s="281"/>
      <c r="J13" s="196"/>
      <c r="K13" s="207">
        <f>SUM(K9:K12)</f>
        <v>44.246478873924055</v>
      </c>
      <c r="L13" s="118"/>
      <c r="M13" s="118"/>
      <c r="N13" s="118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</row>
    <row r="14" spans="1:11" ht="12.75">
      <c r="A14" s="51"/>
      <c r="B14" s="160"/>
      <c r="C14" s="52"/>
      <c r="D14" s="52"/>
      <c r="E14" s="52"/>
      <c r="F14" s="54"/>
      <c r="G14" s="128"/>
      <c r="H14" s="208"/>
      <c r="I14" s="282"/>
      <c r="J14" s="411"/>
      <c r="K14" s="208"/>
    </row>
    <row r="15" spans="1:132" s="5" customFormat="1" ht="18" customHeight="1">
      <c r="A15" s="60" t="s">
        <v>18</v>
      </c>
      <c r="B15" s="165"/>
      <c r="C15" s="11"/>
      <c r="D15" s="11"/>
      <c r="E15" s="35"/>
      <c r="F15" s="35"/>
      <c r="G15" s="197"/>
      <c r="H15" s="110"/>
      <c r="I15" s="285">
        <f>'сан содерж'!F33</f>
        <v>0.2006437168326623</v>
      </c>
      <c r="J15" s="409"/>
      <c r="K15" s="110"/>
      <c r="L15" s="118"/>
      <c r="M15" s="118"/>
      <c r="N15" s="118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</row>
    <row r="16" spans="1:11" ht="12.75">
      <c r="A16" s="44"/>
      <c r="B16" s="158"/>
      <c r="C16" s="35"/>
      <c r="D16" s="35"/>
      <c r="E16" s="35"/>
      <c r="F16" s="35"/>
      <c r="G16" s="103"/>
      <c r="H16" s="110"/>
      <c r="I16" s="385"/>
      <c r="J16" s="410"/>
      <c r="K16" s="110"/>
    </row>
    <row r="17" spans="1:11" ht="12.75">
      <c r="A17" s="44" t="s">
        <v>373</v>
      </c>
      <c r="B17" s="158"/>
      <c r="C17" s="35">
        <v>12</v>
      </c>
      <c r="D17" s="35">
        <v>1</v>
      </c>
      <c r="E17" s="35">
        <v>12</v>
      </c>
      <c r="F17" s="35">
        <f>D17/C17*E17</f>
        <v>1</v>
      </c>
      <c r="G17" s="103">
        <f>529.5*1.06</f>
        <v>561.27</v>
      </c>
      <c r="H17" s="206">
        <f>F17*G17</f>
        <v>561.27</v>
      </c>
      <c r="I17" s="286">
        <f>I15</f>
        <v>0.2006437168326623</v>
      </c>
      <c r="J17" s="412">
        <f>F17*I17</f>
        <v>0.2006437168326623</v>
      </c>
      <c r="K17" s="206">
        <f>H17*I17</f>
        <v>112.61529894666836</v>
      </c>
    </row>
    <row r="18" spans="1:11" ht="12.75">
      <c r="A18" s="44" t="s">
        <v>19</v>
      </c>
      <c r="B18" s="158"/>
      <c r="C18" s="35">
        <v>12</v>
      </c>
      <c r="D18" s="35">
        <v>1</v>
      </c>
      <c r="E18" s="35">
        <v>12</v>
      </c>
      <c r="F18" s="35">
        <f>D18/C18*E18</f>
        <v>1</v>
      </c>
      <c r="G18" s="103">
        <f>53*1.06</f>
        <v>56.18</v>
      </c>
      <c r="H18" s="206">
        <f>F18*G18</f>
        <v>56.18</v>
      </c>
      <c r="I18" s="286">
        <f>I15</f>
        <v>0.2006437168326623</v>
      </c>
      <c r="J18" s="412">
        <f>F18*I18</f>
        <v>0.2006437168326623</v>
      </c>
      <c r="K18" s="206">
        <f>H18*I18</f>
        <v>11.272164011658967</v>
      </c>
    </row>
    <row r="19" spans="1:11" ht="12.75">
      <c r="A19" s="44" t="s">
        <v>20</v>
      </c>
      <c r="B19" s="158"/>
      <c r="C19" s="35">
        <v>12</v>
      </c>
      <c r="D19" s="35">
        <v>6</v>
      </c>
      <c r="E19" s="35">
        <v>12</v>
      </c>
      <c r="F19" s="35">
        <f>D19/C19*E19</f>
        <v>6</v>
      </c>
      <c r="G19" s="103">
        <f>37.1*1.06</f>
        <v>39.326</v>
      </c>
      <c r="H19" s="206">
        <f>F19*G19</f>
        <v>235.95600000000002</v>
      </c>
      <c r="I19" s="286">
        <f>I15</f>
        <v>0.2006437168326623</v>
      </c>
      <c r="J19" s="412">
        <f>F19*I19</f>
        <v>1.203862300995974</v>
      </c>
      <c r="K19" s="206">
        <f>H19*I19</f>
        <v>47.34308884896767</v>
      </c>
    </row>
    <row r="20" spans="1:11" ht="12.75">
      <c r="A20" s="44" t="s">
        <v>21</v>
      </c>
      <c r="B20" s="158"/>
      <c r="C20" s="35">
        <v>24</v>
      </c>
      <c r="D20" s="35">
        <v>1</v>
      </c>
      <c r="E20" s="35">
        <v>12</v>
      </c>
      <c r="F20" s="40">
        <f>D20/C20*E20</f>
        <v>0.5</v>
      </c>
      <c r="G20" s="103">
        <v>0</v>
      </c>
      <c r="H20" s="206">
        <f>F20*G20</f>
        <v>0</v>
      </c>
      <c r="I20" s="286">
        <f>I15</f>
        <v>0.2006437168326623</v>
      </c>
      <c r="J20" s="412">
        <f>F20*I20</f>
        <v>0.10032185841633115</v>
      </c>
      <c r="K20" s="206">
        <f>H20*I20</f>
        <v>0</v>
      </c>
    </row>
    <row r="21" spans="1:11" ht="13.5" thickBot="1">
      <c r="A21" s="53" t="s">
        <v>15</v>
      </c>
      <c r="B21" s="159"/>
      <c r="C21" s="37">
        <v>12</v>
      </c>
      <c r="D21" s="37">
        <v>1</v>
      </c>
      <c r="E21" s="37">
        <v>12</v>
      </c>
      <c r="F21" s="37">
        <f>D21/C21*E21</f>
        <v>1</v>
      </c>
      <c r="G21" s="104">
        <f>370.6*1.06</f>
        <v>392.83600000000007</v>
      </c>
      <c r="H21" s="206">
        <f>F21*G21</f>
        <v>392.83600000000007</v>
      </c>
      <c r="I21" s="286">
        <f>I15</f>
        <v>0.2006437168326623</v>
      </c>
      <c r="J21" s="412">
        <f>F21*I21</f>
        <v>0.2006437168326623</v>
      </c>
      <c r="K21" s="206">
        <f>H21*I21</f>
        <v>78.82007514567574</v>
      </c>
    </row>
    <row r="22" spans="1:132" s="39" customFormat="1" ht="18" customHeight="1" thickBot="1">
      <c r="A22" s="49" t="s">
        <v>3</v>
      </c>
      <c r="B22" s="164"/>
      <c r="C22" s="50"/>
      <c r="D22" s="50"/>
      <c r="E22" s="50"/>
      <c r="F22" s="50"/>
      <c r="G22" s="196"/>
      <c r="H22" s="207">
        <f>SUM(H17:H21)</f>
        <v>1246.242</v>
      </c>
      <c r="I22" s="281"/>
      <c r="J22" s="196"/>
      <c r="K22" s="207">
        <f>SUM(K17:K21)</f>
        <v>250.05062695297073</v>
      </c>
      <c r="L22" s="140"/>
      <c r="M22" s="140"/>
      <c r="N22" s="140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</row>
    <row r="23" spans="1:11" ht="12.75">
      <c r="A23" s="51"/>
      <c r="B23" s="160"/>
      <c r="C23" s="52"/>
      <c r="D23" s="52"/>
      <c r="E23" s="52"/>
      <c r="F23" s="52"/>
      <c r="G23" s="128"/>
      <c r="H23" s="209"/>
      <c r="I23" s="283"/>
      <c r="J23" s="128"/>
      <c r="K23" s="209"/>
    </row>
    <row r="24" spans="1:132" s="4" customFormat="1" ht="25.5">
      <c r="A24" s="59" t="s">
        <v>23</v>
      </c>
      <c r="B24" s="163"/>
      <c r="C24" s="9"/>
      <c r="D24" s="9"/>
      <c r="E24" s="35"/>
      <c r="F24" s="35"/>
      <c r="G24" s="24"/>
      <c r="H24" s="110"/>
      <c r="I24" s="285" t="e">
        <f>'сан содерж'!F46</f>
        <v>#DIV/0!</v>
      </c>
      <c r="J24" s="413"/>
      <c r="K24" s="110"/>
      <c r="L24" s="138"/>
      <c r="M24" s="138"/>
      <c r="N24" s="138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</row>
    <row r="25" spans="1:11" ht="12.75">
      <c r="A25" s="44"/>
      <c r="B25" s="158"/>
      <c r="C25" s="35"/>
      <c r="D25" s="35"/>
      <c r="E25" s="35"/>
      <c r="F25" s="35"/>
      <c r="G25" s="103"/>
      <c r="H25" s="110"/>
      <c r="I25" s="385"/>
      <c r="J25" s="410"/>
      <c r="K25" s="110"/>
    </row>
    <row r="26" spans="1:11" ht="12.75">
      <c r="A26" s="44" t="s">
        <v>42</v>
      </c>
      <c r="B26" s="158"/>
      <c r="C26" s="35">
        <v>12</v>
      </c>
      <c r="D26" s="35">
        <v>1</v>
      </c>
      <c r="E26" s="35">
        <v>12</v>
      </c>
      <c r="F26" s="35">
        <f>D26/C26*E26</f>
        <v>1</v>
      </c>
      <c r="G26" s="103"/>
      <c r="H26" s="206"/>
      <c r="I26" s="286" t="e">
        <f>I24</f>
        <v>#DIV/0!</v>
      </c>
      <c r="J26" s="412" t="e">
        <f>F26*I26</f>
        <v>#DIV/0!</v>
      </c>
      <c r="K26" s="206" t="e">
        <f>H26*I26</f>
        <v>#DIV/0!</v>
      </c>
    </row>
    <row r="27" spans="1:11" ht="12.75">
      <c r="A27" s="44" t="s">
        <v>20</v>
      </c>
      <c r="B27" s="158"/>
      <c r="C27" s="35">
        <v>12</v>
      </c>
      <c r="D27" s="35">
        <v>4</v>
      </c>
      <c r="E27" s="35">
        <v>12</v>
      </c>
      <c r="F27" s="35">
        <f>D27/C27*E27</f>
        <v>4</v>
      </c>
      <c r="G27" s="103"/>
      <c r="H27" s="206"/>
      <c r="I27" s="286" t="e">
        <f>I24</f>
        <v>#DIV/0!</v>
      </c>
      <c r="J27" s="412" t="e">
        <f>F27*I27</f>
        <v>#DIV/0!</v>
      </c>
      <c r="K27" s="206" t="e">
        <f>H27*I27</f>
        <v>#DIV/0!</v>
      </c>
    </row>
    <row r="28" spans="1:11" ht="12.75">
      <c r="A28" s="44" t="s">
        <v>24</v>
      </c>
      <c r="B28" s="158"/>
      <c r="C28" s="35">
        <v>12</v>
      </c>
      <c r="D28" s="35">
        <v>1</v>
      </c>
      <c r="E28" s="35">
        <v>12</v>
      </c>
      <c r="F28" s="35">
        <f>D28/C28*E28</f>
        <v>1</v>
      </c>
      <c r="G28" s="103"/>
      <c r="H28" s="206"/>
      <c r="I28" s="286" t="e">
        <f>I24</f>
        <v>#DIV/0!</v>
      </c>
      <c r="J28" s="412" t="e">
        <f>F28*I28</f>
        <v>#DIV/0!</v>
      </c>
      <c r="K28" s="206" t="e">
        <f>H28*I28</f>
        <v>#DIV/0!</v>
      </c>
    </row>
    <row r="29" spans="1:11" ht="13.5" thickBot="1">
      <c r="A29" s="53" t="s">
        <v>15</v>
      </c>
      <c r="B29" s="159"/>
      <c r="C29" s="37">
        <v>24</v>
      </c>
      <c r="D29" s="37">
        <v>1</v>
      </c>
      <c r="E29" s="37">
        <v>12</v>
      </c>
      <c r="F29" s="35">
        <f>D29/C29*E29</f>
        <v>0.5</v>
      </c>
      <c r="G29" s="104"/>
      <c r="H29" s="206"/>
      <c r="I29" s="286" t="e">
        <f>I24</f>
        <v>#DIV/0!</v>
      </c>
      <c r="J29" s="412" t="e">
        <f>F29*I29</f>
        <v>#DIV/0!</v>
      </c>
      <c r="K29" s="206" t="e">
        <f>H29*I29</f>
        <v>#DIV/0!</v>
      </c>
    </row>
    <row r="30" spans="1:132" s="5" customFormat="1" ht="18" customHeight="1" thickBot="1">
      <c r="A30" s="49" t="s">
        <v>3</v>
      </c>
      <c r="B30" s="164"/>
      <c r="C30" s="50"/>
      <c r="D30" s="50"/>
      <c r="E30" s="50"/>
      <c r="F30" s="50"/>
      <c r="G30" s="196"/>
      <c r="H30" s="207">
        <f>SUM(H26:H29)</f>
        <v>0</v>
      </c>
      <c r="I30" s="281"/>
      <c r="J30" s="196"/>
      <c r="K30" s="207" t="e">
        <f>SUM(K26:K29)</f>
        <v>#DIV/0!</v>
      </c>
      <c r="L30" s="118"/>
      <c r="M30" s="118"/>
      <c r="N30" s="118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</row>
    <row r="31" spans="1:11" ht="12.75">
      <c r="A31" s="51"/>
      <c r="B31" s="160"/>
      <c r="C31" s="52"/>
      <c r="D31" s="52"/>
      <c r="E31" s="52"/>
      <c r="F31" s="52"/>
      <c r="G31" s="128"/>
      <c r="H31" s="209"/>
      <c r="I31" s="283"/>
      <c r="J31" s="128"/>
      <c r="K31" s="209"/>
    </row>
    <row r="32" spans="1:11" ht="15.75">
      <c r="A32" s="45" t="s">
        <v>25</v>
      </c>
      <c r="B32" s="166"/>
      <c r="C32" s="35"/>
      <c r="D32" s="35"/>
      <c r="E32" s="35"/>
      <c r="F32" s="35"/>
      <c r="G32" s="103"/>
      <c r="H32" s="110"/>
      <c r="I32" s="273"/>
      <c r="J32" s="103"/>
      <c r="K32" s="110"/>
    </row>
    <row r="33" spans="1:11" ht="12.75">
      <c r="A33" s="44"/>
      <c r="B33" s="158"/>
      <c r="C33" s="35"/>
      <c r="D33" s="35"/>
      <c r="E33" s="35"/>
      <c r="F33" s="35"/>
      <c r="G33" s="103"/>
      <c r="H33" s="110"/>
      <c r="I33" s="273"/>
      <c r="J33" s="103"/>
      <c r="K33" s="110"/>
    </row>
    <row r="34" spans="1:11" ht="17.25" customHeight="1">
      <c r="A34" s="173" t="s">
        <v>1</v>
      </c>
      <c r="B34" s="158"/>
      <c r="C34" s="11"/>
      <c r="D34" s="11"/>
      <c r="E34" s="11"/>
      <c r="F34" s="35"/>
      <c r="G34" s="103"/>
      <c r="H34" s="110"/>
      <c r="I34" s="385">
        <f>'сан содерж'!F11</f>
        <v>0.07882531645569621</v>
      </c>
      <c r="J34" s="410"/>
      <c r="K34" s="110"/>
    </row>
    <row r="35" spans="1:11" ht="12.75">
      <c r="A35" s="44"/>
      <c r="B35" s="158"/>
      <c r="C35" s="35"/>
      <c r="D35" s="35"/>
      <c r="E35" s="35"/>
      <c r="F35" s="35"/>
      <c r="G35" s="103"/>
      <c r="H35" s="110"/>
      <c r="I35" s="286"/>
      <c r="J35" s="103"/>
      <c r="K35" s="110"/>
    </row>
    <row r="36" spans="1:11" ht="12.75">
      <c r="A36" s="44" t="s">
        <v>393</v>
      </c>
      <c r="B36" s="158"/>
      <c r="C36" s="35">
        <v>12</v>
      </c>
      <c r="D36" s="35">
        <v>12</v>
      </c>
      <c r="E36" s="35">
        <v>12</v>
      </c>
      <c r="F36" s="35">
        <f aca="true" t="shared" si="0" ref="F36:F41">D36/C36*E36</f>
        <v>12</v>
      </c>
      <c r="G36" s="103">
        <f>137.7*1.06</f>
        <v>145.962</v>
      </c>
      <c r="H36" s="206">
        <f aca="true" t="shared" si="1" ref="H36:H42">F36*G36</f>
        <v>1751.5439999999999</v>
      </c>
      <c r="I36" s="286">
        <f>I34</f>
        <v>0.07882531645569621</v>
      </c>
      <c r="J36" s="412">
        <f aca="true" t="shared" si="2" ref="J36:J41">F36*I36</f>
        <v>0.9459037974683545</v>
      </c>
      <c r="K36" s="206">
        <f aca="true" t="shared" si="3" ref="K36:K42">H36*I36</f>
        <v>138.06601008607595</v>
      </c>
    </row>
    <row r="37" spans="1:11" ht="12.75">
      <c r="A37" s="44" t="s">
        <v>26</v>
      </c>
      <c r="B37" s="158"/>
      <c r="C37" s="35">
        <v>12</v>
      </c>
      <c r="D37" s="35">
        <v>1</v>
      </c>
      <c r="E37" s="35">
        <v>12</v>
      </c>
      <c r="F37" s="35">
        <f t="shared" si="0"/>
        <v>1</v>
      </c>
      <c r="G37" s="103"/>
      <c r="H37" s="206">
        <f t="shared" si="1"/>
        <v>0</v>
      </c>
      <c r="I37" s="286">
        <f>I34</f>
        <v>0.07882531645569621</v>
      </c>
      <c r="J37" s="412">
        <f t="shared" si="2"/>
        <v>0.07882531645569621</v>
      </c>
      <c r="K37" s="206">
        <f t="shared" si="3"/>
        <v>0</v>
      </c>
    </row>
    <row r="38" spans="1:11" ht="12.75" customHeight="1">
      <c r="A38" s="44" t="s">
        <v>30</v>
      </c>
      <c r="B38" s="158"/>
      <c r="C38" s="35">
        <v>12</v>
      </c>
      <c r="D38" s="35">
        <v>1</v>
      </c>
      <c r="E38" s="35">
        <v>12</v>
      </c>
      <c r="F38" s="35">
        <f t="shared" si="0"/>
        <v>1</v>
      </c>
      <c r="G38" s="103">
        <f>127.1*1.06</f>
        <v>134.726</v>
      </c>
      <c r="H38" s="206">
        <f t="shared" si="1"/>
        <v>134.726</v>
      </c>
      <c r="I38" s="286">
        <f>I34</f>
        <v>0.07882531645569621</v>
      </c>
      <c r="J38" s="412">
        <f t="shared" si="2"/>
        <v>0.07882531645569621</v>
      </c>
      <c r="K38" s="206">
        <f t="shared" si="3"/>
        <v>10.619819584810127</v>
      </c>
    </row>
    <row r="39" spans="1:11" ht="12.75" customHeight="1">
      <c r="A39" s="44" t="s">
        <v>27</v>
      </c>
      <c r="B39" s="158"/>
      <c r="C39" s="35">
        <v>12</v>
      </c>
      <c r="D39" s="35">
        <v>1</v>
      </c>
      <c r="E39" s="35">
        <v>12</v>
      </c>
      <c r="F39" s="35">
        <f t="shared" si="0"/>
        <v>1</v>
      </c>
      <c r="G39" s="103">
        <f>137.7*1.06</f>
        <v>145.962</v>
      </c>
      <c r="H39" s="206">
        <f t="shared" si="1"/>
        <v>145.962</v>
      </c>
      <c r="I39" s="286">
        <f>I34</f>
        <v>0.07882531645569621</v>
      </c>
      <c r="J39" s="412">
        <f t="shared" si="2"/>
        <v>0.07882531645569621</v>
      </c>
      <c r="K39" s="206">
        <f t="shared" si="3"/>
        <v>11.505500840506329</v>
      </c>
    </row>
    <row r="40" spans="1:11" ht="12.75" customHeight="1">
      <c r="A40" s="44" t="s">
        <v>28</v>
      </c>
      <c r="B40" s="158"/>
      <c r="C40" s="35">
        <v>24</v>
      </c>
      <c r="D40" s="35">
        <v>1</v>
      </c>
      <c r="E40" s="35">
        <v>12</v>
      </c>
      <c r="F40" s="35">
        <f t="shared" si="0"/>
        <v>0.5</v>
      </c>
      <c r="G40" s="103">
        <f>105.9*1.06</f>
        <v>112.254</v>
      </c>
      <c r="H40" s="206">
        <f>F40*G40</f>
        <v>56.127</v>
      </c>
      <c r="I40" s="286">
        <f>I34</f>
        <v>0.07882531645569621</v>
      </c>
      <c r="J40" s="412">
        <f t="shared" si="2"/>
        <v>0.039412658227848105</v>
      </c>
      <c r="K40" s="206">
        <f t="shared" si="3"/>
        <v>4.424228536708862</v>
      </c>
    </row>
    <row r="41" spans="1:11" ht="12.75" customHeight="1">
      <c r="A41" s="44" t="s">
        <v>29</v>
      </c>
      <c r="B41" s="158"/>
      <c r="C41" s="37">
        <v>12</v>
      </c>
      <c r="D41" s="37">
        <v>1</v>
      </c>
      <c r="E41" s="37">
        <v>12</v>
      </c>
      <c r="F41" s="37">
        <f t="shared" si="0"/>
        <v>1</v>
      </c>
      <c r="G41" s="103">
        <f>95.3*1.06</f>
        <v>101.018</v>
      </c>
      <c r="H41" s="206">
        <f t="shared" si="1"/>
        <v>101.018</v>
      </c>
      <c r="I41" s="286">
        <f>I34</f>
        <v>0.07882531645569621</v>
      </c>
      <c r="J41" s="412">
        <f t="shared" si="2"/>
        <v>0.07882531645569621</v>
      </c>
      <c r="K41" s="206">
        <f t="shared" si="3"/>
        <v>7.9627758177215195</v>
      </c>
    </row>
    <row r="42" spans="1:132" s="1" customFormat="1" ht="13.5" thickBot="1">
      <c r="A42" s="47" t="s">
        <v>140</v>
      </c>
      <c r="B42" s="315"/>
      <c r="C42" s="379">
        <v>12</v>
      </c>
      <c r="D42" s="379">
        <v>1</v>
      </c>
      <c r="E42" s="379">
        <v>12</v>
      </c>
      <c r="F42" s="384">
        <f>D42/C42*E42</f>
        <v>1</v>
      </c>
      <c r="G42" s="127">
        <f>58.3*1.06</f>
        <v>61.798</v>
      </c>
      <c r="H42" s="206">
        <f t="shared" si="1"/>
        <v>61.798</v>
      </c>
      <c r="I42" s="280">
        <f>I34</f>
        <v>0.07882531645569621</v>
      </c>
      <c r="J42" s="412">
        <f>F42*I42</f>
        <v>0.07882531645569621</v>
      </c>
      <c r="K42" s="206">
        <f t="shared" si="3"/>
        <v>4.871246906329114</v>
      </c>
      <c r="L42" s="136"/>
      <c r="M42" s="136"/>
      <c r="N42" s="137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49"/>
      <c r="DS42" s="149"/>
      <c r="DT42" s="149"/>
      <c r="DU42" s="149"/>
      <c r="DV42" s="149"/>
      <c r="DW42" s="149"/>
      <c r="DX42" s="149"/>
      <c r="DY42" s="149"/>
      <c r="DZ42" s="149"/>
      <c r="EA42" s="149"/>
      <c r="EB42" s="149"/>
    </row>
    <row r="43" spans="1:132" s="5" customFormat="1" ht="19.5" customHeight="1" thickBot="1">
      <c r="A43" s="55" t="s">
        <v>3</v>
      </c>
      <c r="B43" s="167"/>
      <c r="C43" s="38"/>
      <c r="D43" s="38"/>
      <c r="E43" s="38"/>
      <c r="F43" s="383"/>
      <c r="G43" s="199"/>
      <c r="H43" s="210">
        <f>SUM(H36:H42)</f>
        <v>2251.175</v>
      </c>
      <c r="I43" s="284"/>
      <c r="J43" s="199"/>
      <c r="K43" s="210">
        <f>SUM(K36:K42)</f>
        <v>177.44958177215187</v>
      </c>
      <c r="L43" s="118"/>
      <c r="M43" s="118"/>
      <c r="N43" s="118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</row>
    <row r="44" spans="1:11" ht="33" customHeight="1">
      <c r="A44" s="521" t="s">
        <v>141</v>
      </c>
      <c r="B44" s="529" t="s">
        <v>412</v>
      </c>
      <c r="C44" s="781">
        <v>100</v>
      </c>
      <c r="D44" s="781">
        <v>0.2</v>
      </c>
      <c r="E44" s="781">
        <v>12</v>
      </c>
      <c r="F44" s="782">
        <f>D44/C44*E44</f>
        <v>0.024</v>
      </c>
      <c r="G44" s="128">
        <f>75*1.06</f>
        <v>79.5</v>
      </c>
      <c r="H44" s="209">
        <f>F44*G44</f>
        <v>1.9080000000000001</v>
      </c>
      <c r="I44" s="283">
        <f>'Исход дан'!D9</f>
        <v>55.6</v>
      </c>
      <c r="J44" s="745">
        <f>I44*F44</f>
        <v>1.3344</v>
      </c>
      <c r="K44" s="209">
        <f>H44*I44</f>
        <v>106.08480000000002</v>
      </c>
    </row>
    <row r="45" spans="1:11" ht="18.75" customHeight="1">
      <c r="A45" s="316" t="s">
        <v>443</v>
      </c>
      <c r="B45" s="317"/>
      <c r="C45" s="56"/>
      <c r="D45" s="56"/>
      <c r="E45" s="56"/>
      <c r="F45" s="52"/>
      <c r="G45" s="128"/>
      <c r="H45" s="208"/>
      <c r="I45" s="318">
        <f>'сан содерж'!F33</f>
        <v>0.2006437168326623</v>
      </c>
      <c r="J45" s="414"/>
      <c r="K45" s="208"/>
    </row>
    <row r="46" spans="1:11" ht="12.75">
      <c r="A46" s="44"/>
      <c r="B46" s="158"/>
      <c r="C46" s="35"/>
      <c r="D46" s="35"/>
      <c r="E46" s="35"/>
      <c r="F46" s="35"/>
      <c r="G46" s="103"/>
      <c r="H46" s="110"/>
      <c r="I46" s="385"/>
      <c r="J46" s="410"/>
      <c r="K46" s="110"/>
    </row>
    <row r="47" spans="1:11" ht="12.75">
      <c r="A47" s="44" t="s">
        <v>32</v>
      </c>
      <c r="B47" s="158"/>
      <c r="C47" s="35">
        <v>12</v>
      </c>
      <c r="D47" s="35">
        <v>70</v>
      </c>
      <c r="E47" s="35">
        <v>5.5</v>
      </c>
      <c r="F47" s="40">
        <f aca="true" t="shared" si="4" ref="F47:F55">D47/C47*E47</f>
        <v>32.08333333333333</v>
      </c>
      <c r="G47" s="103">
        <f>63.5*1.06</f>
        <v>67.31</v>
      </c>
      <c r="H47" s="209">
        <f aca="true" t="shared" si="5" ref="H47:H55">F47*G47</f>
        <v>2159.5291666666662</v>
      </c>
      <c r="I47" s="286">
        <f>I45</f>
        <v>0.2006437168326623</v>
      </c>
      <c r="J47" s="412">
        <f aca="true" t="shared" si="6" ref="J47:J55">F47*I47</f>
        <v>6.437319248381248</v>
      </c>
      <c r="K47" s="206">
        <f aca="true" t="shared" si="7" ref="K47:K55">H47*I47</f>
        <v>433.29595860854175</v>
      </c>
    </row>
    <row r="48" spans="1:11" ht="12.75">
      <c r="A48" s="44" t="s">
        <v>152</v>
      </c>
      <c r="B48" s="158"/>
      <c r="C48" s="35">
        <v>60</v>
      </c>
      <c r="D48" s="35">
        <v>1</v>
      </c>
      <c r="E48" s="35">
        <v>5.5</v>
      </c>
      <c r="F48" s="40">
        <f t="shared" si="4"/>
        <v>0.09166666666666666</v>
      </c>
      <c r="G48" s="103">
        <v>0</v>
      </c>
      <c r="H48" s="209">
        <f t="shared" si="5"/>
        <v>0</v>
      </c>
      <c r="I48" s="286">
        <f>I45</f>
        <v>0.2006437168326623</v>
      </c>
      <c r="J48" s="412">
        <f t="shared" si="6"/>
        <v>0.01839234070966071</v>
      </c>
      <c r="K48" s="206">
        <f t="shared" si="7"/>
        <v>0</v>
      </c>
    </row>
    <row r="49" spans="1:11" ht="12.75">
      <c r="A49" s="44" t="s">
        <v>33</v>
      </c>
      <c r="B49" s="158"/>
      <c r="C49" s="35">
        <v>60</v>
      </c>
      <c r="D49" s="35">
        <v>1</v>
      </c>
      <c r="E49" s="35">
        <v>5.5</v>
      </c>
      <c r="F49" s="40">
        <f t="shared" si="4"/>
        <v>0.09166666666666666</v>
      </c>
      <c r="G49" s="103">
        <f>211.8*1.06</f>
        <v>224.508</v>
      </c>
      <c r="H49" s="209">
        <f t="shared" si="5"/>
        <v>20.5799</v>
      </c>
      <c r="I49" s="286">
        <f>I45</f>
        <v>0.2006437168326623</v>
      </c>
      <c r="J49" s="412">
        <f t="shared" si="6"/>
        <v>0.01839234070966071</v>
      </c>
      <c r="K49" s="206">
        <f t="shared" si="7"/>
        <v>4.129227628044506</v>
      </c>
    </row>
    <row r="50" spans="1:11" ht="12.75">
      <c r="A50" s="44" t="s">
        <v>512</v>
      </c>
      <c r="B50" s="158"/>
      <c r="C50" s="35">
        <v>24</v>
      </c>
      <c r="D50" s="35">
        <v>1</v>
      </c>
      <c r="E50" s="35">
        <v>5.5</v>
      </c>
      <c r="F50" s="40">
        <f t="shared" si="4"/>
        <v>0.22916666666666666</v>
      </c>
      <c r="G50" s="103">
        <f>116.5*1.06</f>
        <v>123.49000000000001</v>
      </c>
      <c r="H50" s="209">
        <f t="shared" si="5"/>
        <v>28.299791666666668</v>
      </c>
      <c r="I50" s="286">
        <f>I45</f>
        <v>0.2006437168326623</v>
      </c>
      <c r="J50" s="412">
        <f t="shared" si="6"/>
        <v>0.045980851774151774</v>
      </c>
      <c r="K50" s="206">
        <f t="shared" si="7"/>
        <v>5.678175385590003</v>
      </c>
    </row>
    <row r="51" spans="1:11" ht="12.75">
      <c r="A51" s="44" t="s">
        <v>513</v>
      </c>
      <c r="B51" s="158"/>
      <c r="C51" s="35">
        <v>24</v>
      </c>
      <c r="D51" s="35">
        <v>1</v>
      </c>
      <c r="E51" s="35">
        <v>5.5</v>
      </c>
      <c r="F51" s="40">
        <f t="shared" si="4"/>
        <v>0.22916666666666666</v>
      </c>
      <c r="G51" s="103">
        <f>116.5*1.06</f>
        <v>123.49000000000001</v>
      </c>
      <c r="H51" s="209">
        <f t="shared" si="5"/>
        <v>28.299791666666668</v>
      </c>
      <c r="I51" s="286">
        <f>I45</f>
        <v>0.2006437168326623</v>
      </c>
      <c r="J51" s="412">
        <f t="shared" si="6"/>
        <v>0.045980851774151774</v>
      </c>
      <c r="K51" s="206">
        <f t="shared" si="7"/>
        <v>5.678175385590003</v>
      </c>
    </row>
    <row r="52" spans="1:11" ht="12.75">
      <c r="A52" s="44" t="s">
        <v>442</v>
      </c>
      <c r="B52" s="158"/>
      <c r="C52" s="35">
        <v>12</v>
      </c>
      <c r="D52" s="35">
        <v>1</v>
      </c>
      <c r="E52" s="35">
        <v>5.5</v>
      </c>
      <c r="F52" s="40">
        <f>D52/C52*E52</f>
        <v>0.4583333333333333</v>
      </c>
      <c r="G52" s="103">
        <f>450*1.06</f>
        <v>477</v>
      </c>
      <c r="H52" s="209">
        <f t="shared" si="5"/>
        <v>218.625</v>
      </c>
      <c r="I52" s="286">
        <f>I45</f>
        <v>0.2006437168326623</v>
      </c>
      <c r="J52" s="412">
        <f t="shared" si="6"/>
        <v>0.09196170354830355</v>
      </c>
      <c r="K52" s="206">
        <f t="shared" si="7"/>
        <v>43.865732592540795</v>
      </c>
    </row>
    <row r="53" spans="1:11" ht="12.75">
      <c r="A53" s="44" t="s">
        <v>36</v>
      </c>
      <c r="B53" s="158"/>
      <c r="C53" s="35">
        <v>24</v>
      </c>
      <c r="D53" s="35">
        <v>1</v>
      </c>
      <c r="E53" s="35">
        <v>5.5</v>
      </c>
      <c r="F53" s="40">
        <f t="shared" si="4"/>
        <v>0.22916666666666666</v>
      </c>
      <c r="G53" s="103">
        <v>0</v>
      </c>
      <c r="H53" s="209">
        <f t="shared" si="5"/>
        <v>0</v>
      </c>
      <c r="I53" s="286">
        <f>I45</f>
        <v>0.2006437168326623</v>
      </c>
      <c r="J53" s="412">
        <f t="shared" si="6"/>
        <v>0.045980851774151774</v>
      </c>
      <c r="K53" s="206">
        <f t="shared" si="7"/>
        <v>0</v>
      </c>
    </row>
    <row r="54" spans="1:11" ht="12.75">
      <c r="A54" s="44" t="s">
        <v>35</v>
      </c>
      <c r="B54" s="158"/>
      <c r="C54" s="35">
        <v>12</v>
      </c>
      <c r="D54" s="35">
        <v>1</v>
      </c>
      <c r="E54" s="35">
        <v>5.5</v>
      </c>
      <c r="F54" s="40">
        <f t="shared" si="4"/>
        <v>0.4583333333333333</v>
      </c>
      <c r="G54" s="896">
        <f>150*1.06</f>
        <v>159</v>
      </c>
      <c r="H54" s="209">
        <f t="shared" si="5"/>
        <v>72.875</v>
      </c>
      <c r="I54" s="286">
        <f>I45</f>
        <v>0.2006437168326623</v>
      </c>
      <c r="J54" s="412">
        <f t="shared" si="6"/>
        <v>0.09196170354830355</v>
      </c>
      <c r="K54" s="206">
        <f t="shared" si="7"/>
        <v>14.621910864180265</v>
      </c>
    </row>
    <row r="55" spans="1:11" ht="13.5" thickBot="1">
      <c r="A55" s="44" t="s">
        <v>37</v>
      </c>
      <c r="B55" s="158"/>
      <c r="C55" s="35">
        <v>24</v>
      </c>
      <c r="D55" s="35">
        <v>1</v>
      </c>
      <c r="E55" s="35">
        <v>5.5</v>
      </c>
      <c r="F55" s="40">
        <f t="shared" si="4"/>
        <v>0.22916666666666666</v>
      </c>
      <c r="G55" s="103">
        <v>0</v>
      </c>
      <c r="H55" s="209">
        <f t="shared" si="5"/>
        <v>0</v>
      </c>
      <c r="I55" s="286">
        <f>I45</f>
        <v>0.2006437168326623</v>
      </c>
      <c r="J55" s="412">
        <f t="shared" si="6"/>
        <v>0.045980851774151774</v>
      </c>
      <c r="K55" s="206">
        <f t="shared" si="7"/>
        <v>0</v>
      </c>
    </row>
    <row r="56" spans="1:132" s="39" customFormat="1" ht="15.75" customHeight="1" thickBot="1">
      <c r="A56" s="386" t="s">
        <v>195</v>
      </c>
      <c r="B56" s="387"/>
      <c r="C56" s="388"/>
      <c r="D56" s="388"/>
      <c r="E56" s="388"/>
      <c r="F56" s="388"/>
      <c r="G56" s="389"/>
      <c r="H56" s="390">
        <f>SUM(H47:H55)</f>
        <v>2528.20865</v>
      </c>
      <c r="I56" s="391"/>
      <c r="J56" s="389"/>
      <c r="K56" s="390">
        <f>SUM(K47:K55)</f>
        <v>507.26918046448736</v>
      </c>
      <c r="L56" s="140"/>
      <c r="M56" s="140"/>
      <c r="N56" s="140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</row>
    <row r="57" spans="1:11" ht="12.75">
      <c r="A57" s="51"/>
      <c r="B57" s="160"/>
      <c r="C57" s="52"/>
      <c r="D57" s="52"/>
      <c r="E57" s="52"/>
      <c r="F57" s="52"/>
      <c r="G57" s="128"/>
      <c r="H57" s="208"/>
      <c r="I57" s="283"/>
      <c r="J57" s="128"/>
      <c r="K57" s="208"/>
    </row>
    <row r="58" spans="1:11" ht="18" customHeight="1">
      <c r="A58" s="60" t="s">
        <v>444</v>
      </c>
      <c r="B58" s="172"/>
      <c r="C58" s="35"/>
      <c r="D58" s="35"/>
      <c r="E58" s="35"/>
      <c r="F58" s="35"/>
      <c r="G58" s="103"/>
      <c r="H58" s="110"/>
      <c r="I58" s="285">
        <f>'сан содерж'!F33</f>
        <v>0.2006437168326623</v>
      </c>
      <c r="J58" s="415"/>
      <c r="K58" s="110"/>
    </row>
    <row r="59" spans="1:11" ht="12.75">
      <c r="A59" s="43"/>
      <c r="B59" s="158"/>
      <c r="C59" s="35"/>
      <c r="D59" s="35"/>
      <c r="E59" s="35"/>
      <c r="F59" s="35"/>
      <c r="G59" s="103"/>
      <c r="H59" s="110"/>
      <c r="I59" s="385"/>
      <c r="J59" s="410"/>
      <c r="K59" s="110"/>
    </row>
    <row r="60" spans="1:132" s="31" customFormat="1" ht="12.75">
      <c r="A60" s="46" t="s">
        <v>27</v>
      </c>
      <c r="B60" s="158"/>
      <c r="C60" s="32">
        <v>36</v>
      </c>
      <c r="D60" s="32">
        <v>1</v>
      </c>
      <c r="E60" s="32">
        <v>6.5</v>
      </c>
      <c r="F60" s="40">
        <f aca="true" t="shared" si="8" ref="F60:F68">D60/C60*E60</f>
        <v>0.18055555555555555</v>
      </c>
      <c r="G60" s="103">
        <f>137.7*1.06</f>
        <v>145.962</v>
      </c>
      <c r="H60" s="209">
        <f aca="true" t="shared" si="9" ref="H60:H67">F60*G60</f>
        <v>26.354249999999997</v>
      </c>
      <c r="I60" s="286">
        <f>I58</f>
        <v>0.2006437168326623</v>
      </c>
      <c r="J60" s="412">
        <f aca="true" t="shared" si="10" ref="J60:J68">F60*I60</f>
        <v>0.03622733776145291</v>
      </c>
      <c r="K60" s="206">
        <f aca="true" t="shared" si="11" ref="K60:K68">H60*I60</f>
        <v>5.28781467433719</v>
      </c>
      <c r="L60" s="143"/>
      <c r="M60" s="143"/>
      <c r="N60" s="143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</row>
    <row r="61" spans="1:132" s="31" customFormat="1" ht="12.75">
      <c r="A61" s="46" t="s">
        <v>38</v>
      </c>
      <c r="B61" s="158"/>
      <c r="C61" s="32">
        <v>36</v>
      </c>
      <c r="D61" s="32">
        <v>1</v>
      </c>
      <c r="E61" s="32">
        <v>6.5</v>
      </c>
      <c r="F61" s="40">
        <f t="shared" si="8"/>
        <v>0.18055555555555555</v>
      </c>
      <c r="G61" s="103">
        <f>84.1*1.06</f>
        <v>89.146</v>
      </c>
      <c r="H61" s="209">
        <f t="shared" si="9"/>
        <v>16.095805555555554</v>
      </c>
      <c r="I61" s="286">
        <f>I58</f>
        <v>0.2006437168326623</v>
      </c>
      <c r="J61" s="412">
        <f t="shared" si="10"/>
        <v>0.03622733776145291</v>
      </c>
      <c r="K61" s="206">
        <f t="shared" si="11"/>
        <v>3.2295222520824813</v>
      </c>
      <c r="L61" s="143"/>
      <c r="M61" s="143"/>
      <c r="N61" s="143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</row>
    <row r="62" spans="1:11" ht="12.75">
      <c r="A62" s="44" t="s">
        <v>34</v>
      </c>
      <c r="B62" s="158"/>
      <c r="C62" s="35">
        <v>12</v>
      </c>
      <c r="D62" s="35">
        <v>1</v>
      </c>
      <c r="E62" s="32">
        <v>6.5</v>
      </c>
      <c r="F62" s="40">
        <f t="shared" si="8"/>
        <v>0.5416666666666666</v>
      </c>
      <c r="G62" s="103">
        <f>116.5*1.06</f>
        <v>123.49000000000001</v>
      </c>
      <c r="H62" s="209">
        <f t="shared" si="9"/>
        <v>66.89041666666667</v>
      </c>
      <c r="I62" s="286">
        <f>I58</f>
        <v>0.2006437168326623</v>
      </c>
      <c r="J62" s="412">
        <f t="shared" si="10"/>
        <v>0.10868201328435874</v>
      </c>
      <c r="K62" s="206">
        <f t="shared" si="11"/>
        <v>13.421141820485461</v>
      </c>
    </row>
    <row r="63" spans="1:11" ht="12.75">
      <c r="A63" s="44" t="s">
        <v>31</v>
      </c>
      <c r="B63" s="158"/>
      <c r="C63" s="35">
        <v>12</v>
      </c>
      <c r="D63" s="35">
        <v>53</v>
      </c>
      <c r="E63" s="32">
        <v>6.5</v>
      </c>
      <c r="F63" s="40">
        <f t="shared" si="8"/>
        <v>28.708333333333336</v>
      </c>
      <c r="G63" s="103">
        <f>63.5*1.06</f>
        <v>67.31</v>
      </c>
      <c r="H63" s="209">
        <f t="shared" si="9"/>
        <v>1932.3579166666668</v>
      </c>
      <c r="I63" s="286">
        <f>I58</f>
        <v>0.2006437168326623</v>
      </c>
      <c r="J63" s="412">
        <f t="shared" si="10"/>
        <v>5.760146704071014</v>
      </c>
      <c r="K63" s="206">
        <f t="shared" si="11"/>
        <v>387.71547465102</v>
      </c>
    </row>
    <row r="64" spans="1:11" ht="12.75">
      <c r="A64" s="44" t="s">
        <v>39</v>
      </c>
      <c r="B64" s="158" t="s">
        <v>142</v>
      </c>
      <c r="C64" s="35">
        <v>365</v>
      </c>
      <c r="D64" s="35">
        <v>365</v>
      </c>
      <c r="E64" s="32">
        <v>143</v>
      </c>
      <c r="F64" s="70">
        <f t="shared" si="8"/>
        <v>143</v>
      </c>
      <c r="G64" s="103">
        <f>2.5*1.06</f>
        <v>2.6500000000000004</v>
      </c>
      <c r="H64" s="209">
        <f t="shared" si="9"/>
        <v>378.95000000000005</v>
      </c>
      <c r="I64" s="286">
        <f>I58</f>
        <v>0.2006437168326623</v>
      </c>
      <c r="J64" s="412">
        <f t="shared" si="10"/>
        <v>28.69205150707071</v>
      </c>
      <c r="K64" s="206">
        <f t="shared" si="11"/>
        <v>76.03393649373739</v>
      </c>
    </row>
    <row r="65" spans="1:11" ht="12.75">
      <c r="A65" s="44" t="s">
        <v>36</v>
      </c>
      <c r="B65" s="158"/>
      <c r="C65" s="35">
        <v>24</v>
      </c>
      <c r="D65" s="35">
        <v>1</v>
      </c>
      <c r="E65" s="35">
        <v>6.5</v>
      </c>
      <c r="F65" s="40">
        <f t="shared" si="8"/>
        <v>0.2708333333333333</v>
      </c>
      <c r="G65" s="103">
        <v>0</v>
      </c>
      <c r="H65" s="209">
        <f t="shared" si="9"/>
        <v>0</v>
      </c>
      <c r="I65" s="286">
        <f>I58</f>
        <v>0.2006437168326623</v>
      </c>
      <c r="J65" s="412">
        <f t="shared" si="10"/>
        <v>0.05434100664217937</v>
      </c>
      <c r="K65" s="206">
        <f t="shared" si="11"/>
        <v>0</v>
      </c>
    </row>
    <row r="66" spans="1:11" ht="12.75">
      <c r="A66" s="44" t="s">
        <v>26</v>
      </c>
      <c r="B66" s="158"/>
      <c r="C66" s="35">
        <v>12</v>
      </c>
      <c r="D66" s="35">
        <v>4</v>
      </c>
      <c r="E66" s="32">
        <v>6.5</v>
      </c>
      <c r="F66" s="40">
        <f t="shared" si="8"/>
        <v>2.1666666666666665</v>
      </c>
      <c r="G66" s="103">
        <f>127.1*1.06</f>
        <v>134.726</v>
      </c>
      <c r="H66" s="209">
        <f t="shared" si="9"/>
        <v>291.9063333333333</v>
      </c>
      <c r="I66" s="286">
        <f>I58</f>
        <v>0.2006437168326623</v>
      </c>
      <c r="J66" s="412">
        <f t="shared" si="10"/>
        <v>0.43472805313743496</v>
      </c>
      <c r="K66" s="206">
        <f t="shared" si="11"/>
        <v>58.56917168699406</v>
      </c>
    </row>
    <row r="67" spans="1:132" s="31" customFormat="1" ht="12.75">
      <c r="A67" s="46" t="s">
        <v>29</v>
      </c>
      <c r="B67" s="158"/>
      <c r="C67" s="32">
        <v>12</v>
      </c>
      <c r="D67" s="32">
        <v>1</v>
      </c>
      <c r="E67" s="32">
        <v>6.5</v>
      </c>
      <c r="F67" s="40">
        <f t="shared" si="8"/>
        <v>0.5416666666666666</v>
      </c>
      <c r="G67" s="103">
        <v>0</v>
      </c>
      <c r="H67" s="209">
        <f t="shared" si="9"/>
        <v>0</v>
      </c>
      <c r="I67" s="286">
        <f>I58</f>
        <v>0.2006437168326623</v>
      </c>
      <c r="J67" s="412">
        <f t="shared" si="10"/>
        <v>0.10868201328435874</v>
      </c>
      <c r="K67" s="206">
        <f t="shared" si="11"/>
        <v>0</v>
      </c>
      <c r="L67" s="143"/>
      <c r="M67" s="143"/>
      <c r="N67" s="143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</row>
    <row r="68" spans="1:132" s="31" customFormat="1" ht="13.5" thickBot="1">
      <c r="A68" s="246" t="s">
        <v>40</v>
      </c>
      <c r="B68" s="159"/>
      <c r="C68" s="77">
        <v>36</v>
      </c>
      <c r="D68" s="77">
        <v>1</v>
      </c>
      <c r="E68" s="77">
        <v>6.5</v>
      </c>
      <c r="F68" s="48">
        <f t="shared" si="8"/>
        <v>0.18055555555555555</v>
      </c>
      <c r="G68" s="104">
        <f>530*1.06</f>
        <v>561.8000000000001</v>
      </c>
      <c r="H68" s="209">
        <f>F68*G68</f>
        <v>101.43611111111112</v>
      </c>
      <c r="I68" s="280">
        <f>I58</f>
        <v>0.2006437168326623</v>
      </c>
      <c r="J68" s="412">
        <f t="shared" si="10"/>
        <v>0.03622733776145291</v>
      </c>
      <c r="K68" s="206">
        <f t="shared" si="11"/>
        <v>20.352518354384248</v>
      </c>
      <c r="L68" s="143"/>
      <c r="M68" s="143"/>
      <c r="N68" s="143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</row>
    <row r="69" spans="1:132" s="5" customFormat="1" ht="15.75" customHeight="1" thickBot="1">
      <c r="A69" s="397" t="s">
        <v>194</v>
      </c>
      <c r="B69" s="392"/>
      <c r="C69" s="366"/>
      <c r="D69" s="366"/>
      <c r="E69" s="366"/>
      <c r="F69" s="393"/>
      <c r="G69" s="394"/>
      <c r="H69" s="395">
        <f>SUM(H60:H68)</f>
        <v>2813.9908333333333</v>
      </c>
      <c r="I69" s="396"/>
      <c r="J69" s="417"/>
      <c r="K69" s="395">
        <f>SUM(K60:K68)</f>
        <v>564.6095799330408</v>
      </c>
      <c r="L69" s="118"/>
      <c r="M69" s="118"/>
      <c r="N69" s="118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  <c r="DV69" s="139"/>
      <c r="DW69" s="139"/>
      <c r="DX69" s="139"/>
      <c r="DY69" s="139"/>
      <c r="DZ69" s="139"/>
      <c r="EA69" s="139"/>
      <c r="EB69" s="139"/>
    </row>
    <row r="70" spans="1:132" s="39" customFormat="1" ht="15.75" customHeight="1">
      <c r="A70" s="400" t="s">
        <v>44</v>
      </c>
      <c r="B70" s="401"/>
      <c r="C70" s="399"/>
      <c r="D70" s="399"/>
      <c r="E70" s="399"/>
      <c r="F70" s="402"/>
      <c r="G70" s="403"/>
      <c r="H70" s="404">
        <f>H56+H69</f>
        <v>5342.199483333334</v>
      </c>
      <c r="I70" s="405"/>
      <c r="J70" s="418"/>
      <c r="K70" s="404">
        <f>K56+K69</f>
        <v>1071.8787603975281</v>
      </c>
      <c r="L70" s="140"/>
      <c r="M70" s="140"/>
      <c r="N70" s="140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</row>
    <row r="71" spans="1:132" s="4" customFormat="1" ht="33" customHeight="1">
      <c r="A71" s="9" t="s">
        <v>445</v>
      </c>
      <c r="B71" s="553" t="s">
        <v>511</v>
      </c>
      <c r="C71" s="236">
        <v>1000</v>
      </c>
      <c r="D71" s="236">
        <v>2</v>
      </c>
      <c r="E71" s="236">
        <v>64</v>
      </c>
      <c r="F71" s="40">
        <f>D71/C71*E71</f>
        <v>0.128</v>
      </c>
      <c r="G71" s="198">
        <f>580.1*1.06</f>
        <v>614.9060000000001</v>
      </c>
      <c r="H71" s="439">
        <f>F71*G71</f>
        <v>78.70796800000001</v>
      </c>
      <c r="I71" s="440">
        <f>('сан содерж'!D22+'сан содерж'!D23+'сан содерж'!D24)/50</f>
        <v>4.122</v>
      </c>
      <c r="J71" s="441">
        <f>F71*I71</f>
        <v>0.527616</v>
      </c>
      <c r="K71" s="206">
        <f>H71*I71</f>
        <v>324.43424409600004</v>
      </c>
      <c r="L71" s="138"/>
      <c r="M71" s="138"/>
      <c r="N71" s="138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2"/>
      <c r="DF71" s="142"/>
      <c r="DG71" s="142"/>
      <c r="DH71" s="142"/>
      <c r="DI71" s="142"/>
      <c r="DJ71" s="142"/>
      <c r="DK71" s="142"/>
      <c r="DL71" s="142"/>
      <c r="DM71" s="142"/>
      <c r="DN71" s="142"/>
      <c r="DO71" s="142"/>
      <c r="DP71" s="142"/>
      <c r="DQ71" s="142"/>
      <c r="DR71" s="142"/>
      <c r="DS71" s="142"/>
      <c r="DT71" s="142"/>
      <c r="DU71" s="142"/>
      <c r="DV71" s="142"/>
      <c r="DW71" s="142"/>
      <c r="DX71" s="142"/>
      <c r="DY71" s="142"/>
      <c r="DZ71" s="142"/>
      <c r="EA71" s="142"/>
      <c r="EB71" s="142"/>
    </row>
    <row r="72" spans="1:132" s="31" customFormat="1" ht="13.5" thickBot="1">
      <c r="A72" s="78"/>
      <c r="B72" s="162"/>
      <c r="C72" s="79"/>
      <c r="D72" s="79"/>
      <c r="E72" s="79"/>
      <c r="F72" s="79"/>
      <c r="G72" s="897"/>
      <c r="H72" s="211"/>
      <c r="I72" s="287"/>
      <c r="J72" s="129"/>
      <c r="K72" s="211"/>
      <c r="L72" s="143"/>
      <c r="M72" s="143"/>
      <c r="N72" s="143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  <c r="DV72" s="144"/>
      <c r="DW72" s="144"/>
      <c r="DX72" s="144"/>
      <c r="DY72" s="144"/>
      <c r="DZ72" s="144"/>
      <c r="EA72" s="144"/>
      <c r="EB72" s="144"/>
    </row>
    <row r="73" spans="1:11" ht="25.5">
      <c r="A73" s="64" t="s">
        <v>23</v>
      </c>
      <c r="B73" s="168"/>
      <c r="C73" s="14"/>
      <c r="D73" s="14"/>
      <c r="E73" s="14"/>
      <c r="F73" s="52"/>
      <c r="G73" s="128"/>
      <c r="H73" s="208"/>
      <c r="I73" s="743" t="e">
        <f>'сан содерж'!F46</f>
        <v>#DIV/0!</v>
      </c>
      <c r="J73" s="419"/>
      <c r="K73" s="208"/>
    </row>
    <row r="74" spans="1:11" ht="12.75">
      <c r="A74" s="44"/>
      <c r="B74" s="158"/>
      <c r="C74" s="35"/>
      <c r="D74" s="35"/>
      <c r="E74" s="35"/>
      <c r="F74" s="35"/>
      <c r="G74" s="103"/>
      <c r="H74" s="110"/>
      <c r="I74" s="286"/>
      <c r="J74" s="103"/>
      <c r="K74" s="110"/>
    </row>
    <row r="75" spans="1:11" ht="12.75">
      <c r="A75" s="44" t="s">
        <v>27</v>
      </c>
      <c r="B75" s="158"/>
      <c r="C75" s="35">
        <v>12</v>
      </c>
      <c r="D75" s="35">
        <v>1</v>
      </c>
      <c r="E75" s="35">
        <v>12</v>
      </c>
      <c r="F75" s="35">
        <f>D75/C75*E75</f>
        <v>1</v>
      </c>
      <c r="G75" s="103"/>
      <c r="H75" s="209">
        <f>F75*G75</f>
        <v>0</v>
      </c>
      <c r="I75" s="286" t="e">
        <f>I73</f>
        <v>#DIV/0!</v>
      </c>
      <c r="J75" s="412" t="e">
        <f>F75*I75</f>
        <v>#DIV/0!</v>
      </c>
      <c r="K75" s="206" t="e">
        <f>H75*I75</f>
        <v>#DIV/0!</v>
      </c>
    </row>
    <row r="76" spans="1:11" ht="12.75">
      <c r="A76" s="44" t="s">
        <v>41</v>
      </c>
      <c r="B76" s="158"/>
      <c r="C76" s="35">
        <v>12</v>
      </c>
      <c r="D76" s="35">
        <v>6</v>
      </c>
      <c r="E76" s="35">
        <v>12</v>
      </c>
      <c r="F76" s="35">
        <f>D76/C76*E76</f>
        <v>6</v>
      </c>
      <c r="G76" s="103"/>
      <c r="H76" s="209">
        <f>F76*G76</f>
        <v>0</v>
      </c>
      <c r="I76" s="286" t="e">
        <f>I73</f>
        <v>#DIV/0!</v>
      </c>
      <c r="J76" s="412" t="e">
        <f>F76*I76</f>
        <v>#DIV/0!</v>
      </c>
      <c r="K76" s="206" t="e">
        <f>H76*I76</f>
        <v>#DIV/0!</v>
      </c>
    </row>
    <row r="77" spans="1:132" s="31" customFormat="1" ht="12.75">
      <c r="A77" s="46" t="s">
        <v>40</v>
      </c>
      <c r="B77" s="158"/>
      <c r="C77" s="32">
        <v>36</v>
      </c>
      <c r="D77" s="32">
        <v>1</v>
      </c>
      <c r="E77" s="35">
        <v>12</v>
      </c>
      <c r="F77" s="40">
        <f>D77/C77*E77</f>
        <v>0.3333333333333333</v>
      </c>
      <c r="G77" s="103"/>
      <c r="H77" s="209">
        <f>F77*G77</f>
        <v>0</v>
      </c>
      <c r="I77" s="286" t="e">
        <f>I73</f>
        <v>#DIV/0!</v>
      </c>
      <c r="J77" s="412" t="e">
        <f>F77*I77</f>
        <v>#DIV/0!</v>
      </c>
      <c r="K77" s="206" t="e">
        <f>H77*I77</f>
        <v>#DIV/0!</v>
      </c>
      <c r="L77" s="143"/>
      <c r="M77" s="143"/>
      <c r="N77" s="143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</row>
    <row r="78" spans="1:11" ht="13.5" thickBot="1">
      <c r="A78" s="44" t="s">
        <v>26</v>
      </c>
      <c r="B78" s="158"/>
      <c r="C78" s="35">
        <v>12</v>
      </c>
      <c r="D78" s="35">
        <v>12</v>
      </c>
      <c r="E78" s="35">
        <v>12</v>
      </c>
      <c r="F78" s="35">
        <f>D78/C78*E78</f>
        <v>12</v>
      </c>
      <c r="G78" s="103"/>
      <c r="H78" s="209">
        <f>F78*G78</f>
        <v>0</v>
      </c>
      <c r="I78" s="286" t="e">
        <f>I73</f>
        <v>#DIV/0!</v>
      </c>
      <c r="J78" s="412" t="e">
        <f>F78*I78</f>
        <v>#DIV/0!</v>
      </c>
      <c r="K78" s="206" t="e">
        <f>H78*I78</f>
        <v>#DIV/0!</v>
      </c>
    </row>
    <row r="79" spans="1:132" s="39" customFormat="1" ht="19.5" customHeight="1" thickBot="1">
      <c r="A79" s="49" t="s">
        <v>3</v>
      </c>
      <c r="B79" s="164"/>
      <c r="C79" s="50"/>
      <c r="D79" s="50"/>
      <c r="E79" s="50"/>
      <c r="F79" s="50"/>
      <c r="G79" s="196"/>
      <c r="H79" s="207">
        <f>SUM(H75:H78)</f>
        <v>0</v>
      </c>
      <c r="I79" s="281"/>
      <c r="J79" s="196"/>
      <c r="K79" s="207" t="e">
        <f>SUM(K75:K78)</f>
        <v>#DIV/0!</v>
      </c>
      <c r="L79" s="140"/>
      <c r="M79" s="140"/>
      <c r="N79" s="140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</row>
    <row r="80" spans="1:132" s="63" customFormat="1" ht="16.5" customHeight="1" thickBot="1">
      <c r="A80" s="65"/>
      <c r="B80" s="169"/>
      <c r="C80" s="66"/>
      <c r="D80" s="66"/>
      <c r="E80" s="66"/>
      <c r="F80" s="66"/>
      <c r="G80" s="200"/>
      <c r="H80" s="212"/>
      <c r="I80" s="288"/>
      <c r="J80" s="200"/>
      <c r="K80" s="212"/>
      <c r="L80" s="145"/>
      <c r="M80" s="145"/>
      <c r="N80" s="145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6"/>
      <c r="DR80" s="146"/>
      <c r="DS80" s="146"/>
      <c r="DT80" s="146"/>
      <c r="DU80" s="146"/>
      <c r="DV80" s="146"/>
      <c r="DW80" s="146"/>
      <c r="DX80" s="146"/>
      <c r="DY80" s="146"/>
      <c r="DZ80" s="146"/>
      <c r="EA80" s="146"/>
      <c r="EB80" s="146"/>
    </row>
    <row r="81" spans="1:132" s="68" customFormat="1" ht="41.25" customHeight="1" thickBot="1">
      <c r="A81" s="371" t="s">
        <v>45</v>
      </c>
      <c r="B81" s="174"/>
      <c r="C81" s="67"/>
      <c r="D81" s="67"/>
      <c r="E81" s="67"/>
      <c r="F81" s="67"/>
      <c r="G81" s="201"/>
      <c r="H81" s="213"/>
      <c r="I81" s="289"/>
      <c r="J81" s="201"/>
      <c r="K81" s="213"/>
      <c r="L81" s="147"/>
      <c r="M81" s="147"/>
      <c r="N81" s="147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/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48"/>
      <c r="DT81" s="148"/>
      <c r="DU81" s="148"/>
      <c r="DV81" s="148"/>
      <c r="DW81" s="148"/>
      <c r="DX81" s="148"/>
      <c r="DY81" s="148"/>
      <c r="DZ81" s="148"/>
      <c r="EA81" s="148"/>
      <c r="EB81" s="148"/>
    </row>
    <row r="82" spans="1:132" s="68" customFormat="1" ht="35.25" customHeight="1">
      <c r="A82" s="72" t="s">
        <v>46</v>
      </c>
      <c r="B82" s="170"/>
      <c r="C82" s="69"/>
      <c r="D82" s="69"/>
      <c r="E82" s="69"/>
      <c r="F82" s="69"/>
      <c r="G82" s="202"/>
      <c r="H82" s="560"/>
      <c r="I82" s="290"/>
      <c r="J82" s="202"/>
      <c r="K82" s="214"/>
      <c r="L82" s="147"/>
      <c r="M82" s="147"/>
      <c r="N82" s="147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  <c r="CP82" s="148"/>
      <c r="CQ82" s="148"/>
      <c r="CR82" s="148"/>
      <c r="CS82" s="148"/>
      <c r="CT82" s="148"/>
      <c r="CU82" s="148"/>
      <c r="CV82" s="148"/>
      <c r="CW82" s="148"/>
      <c r="CX82" s="148"/>
      <c r="CY82" s="148"/>
      <c r="CZ82" s="148"/>
      <c r="DA82" s="148"/>
      <c r="DB82" s="148"/>
      <c r="DC82" s="148"/>
      <c r="DD82" s="148"/>
      <c r="DE82" s="148"/>
      <c r="DF82" s="148"/>
      <c r="DG82" s="148"/>
      <c r="DH82" s="148"/>
      <c r="DI82" s="148"/>
      <c r="DJ82" s="148"/>
      <c r="DK82" s="148"/>
      <c r="DL82" s="148"/>
      <c r="DM82" s="148"/>
      <c r="DN82" s="148"/>
      <c r="DO82" s="148"/>
      <c r="DP82" s="148"/>
      <c r="DQ82" s="148"/>
      <c r="DR82" s="148"/>
      <c r="DS82" s="148"/>
      <c r="DT82" s="148"/>
      <c r="DU82" s="148"/>
      <c r="DV82" s="148"/>
      <c r="DW82" s="148"/>
      <c r="DX82" s="148"/>
      <c r="DY82" s="148"/>
      <c r="DZ82" s="148"/>
      <c r="EA82" s="148"/>
      <c r="EB82" s="148"/>
    </row>
    <row r="83" spans="1:132" s="1" customFormat="1" ht="30" customHeight="1">
      <c r="A83" s="42" t="s">
        <v>153</v>
      </c>
      <c r="B83" s="278" t="s">
        <v>406</v>
      </c>
      <c r="C83" s="23">
        <v>1</v>
      </c>
      <c r="D83" s="23">
        <v>0.02</v>
      </c>
      <c r="E83" s="23">
        <v>183</v>
      </c>
      <c r="F83" s="274">
        <f>D83/C83*E83</f>
        <v>3.66</v>
      </c>
      <c r="G83" s="198"/>
      <c r="H83" s="209">
        <f>F83*G83</f>
        <v>0</v>
      </c>
      <c r="I83" s="291">
        <f>'Исход дан'!D45</f>
        <v>0</v>
      </c>
      <c r="J83" s="412">
        <f>F83*I83</f>
        <v>0</v>
      </c>
      <c r="K83" s="206">
        <f>H83*I83</f>
        <v>0</v>
      </c>
      <c r="L83" s="136"/>
      <c r="M83" s="136"/>
      <c r="N83" s="137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49"/>
      <c r="CI83" s="149"/>
      <c r="CJ83" s="149"/>
      <c r="CK83" s="149"/>
      <c r="CL83" s="149"/>
      <c r="CM83" s="149"/>
      <c r="CN83" s="149"/>
      <c r="CO83" s="149"/>
      <c r="CP83" s="149"/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49"/>
      <c r="DB83" s="149"/>
      <c r="DC83" s="149"/>
      <c r="DD83" s="149"/>
      <c r="DE83" s="149"/>
      <c r="DF83" s="149"/>
      <c r="DG83" s="149"/>
      <c r="DH83" s="149"/>
      <c r="DI83" s="149"/>
      <c r="DJ83" s="149"/>
      <c r="DK83" s="149"/>
      <c r="DL83" s="149"/>
      <c r="DM83" s="149"/>
      <c r="DN83" s="149"/>
      <c r="DO83" s="149"/>
      <c r="DP83" s="149"/>
      <c r="DQ83" s="149"/>
      <c r="DR83" s="149"/>
      <c r="DS83" s="149"/>
      <c r="DT83" s="149"/>
      <c r="DU83" s="149"/>
      <c r="DV83" s="149"/>
      <c r="DW83" s="149"/>
      <c r="DX83" s="149"/>
      <c r="DY83" s="149"/>
      <c r="DZ83" s="149"/>
      <c r="EA83" s="149"/>
      <c r="EB83" s="149"/>
    </row>
    <row r="84" spans="1:132" s="1" customFormat="1" ht="28.5" customHeight="1">
      <c r="A84" s="73" t="s">
        <v>51</v>
      </c>
      <c r="B84" s="163"/>
      <c r="C84" s="279"/>
      <c r="D84" s="279"/>
      <c r="E84" s="279"/>
      <c r="F84" s="35"/>
      <c r="G84" s="198"/>
      <c r="H84" s="206"/>
      <c r="I84" s="291"/>
      <c r="J84" s="412"/>
      <c r="K84" s="206"/>
      <c r="L84" s="136"/>
      <c r="M84" s="136"/>
      <c r="N84" s="137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  <c r="BU84" s="149"/>
      <c r="BV84" s="149"/>
      <c r="BW84" s="149"/>
      <c r="BX84" s="149"/>
      <c r="BY84" s="149"/>
      <c r="BZ84" s="149"/>
      <c r="CA84" s="149"/>
      <c r="CB84" s="149"/>
      <c r="CC84" s="149"/>
      <c r="CD84" s="149"/>
      <c r="CE84" s="149"/>
      <c r="CF84" s="149"/>
      <c r="CG84" s="149"/>
      <c r="CH84" s="149"/>
      <c r="CI84" s="149"/>
      <c r="CJ84" s="149"/>
      <c r="CK84" s="149"/>
      <c r="CL84" s="149"/>
      <c r="CM84" s="149"/>
      <c r="CN84" s="149"/>
      <c r="CO84" s="149"/>
      <c r="CP84" s="149"/>
      <c r="CQ84" s="149"/>
      <c r="CR84" s="149"/>
      <c r="CS84" s="149"/>
      <c r="CT84" s="149"/>
      <c r="CU84" s="149"/>
      <c r="CV84" s="149"/>
      <c r="CW84" s="149"/>
      <c r="CX84" s="149"/>
      <c r="CY84" s="149"/>
      <c r="CZ84" s="149"/>
      <c r="DA84" s="149"/>
      <c r="DB84" s="149"/>
      <c r="DC84" s="149"/>
      <c r="DD84" s="149"/>
      <c r="DE84" s="149"/>
      <c r="DF84" s="149"/>
      <c r="DG84" s="149"/>
      <c r="DH84" s="149"/>
      <c r="DI84" s="149"/>
      <c r="DJ84" s="149"/>
      <c r="DK84" s="149"/>
      <c r="DL84" s="149"/>
      <c r="DM84" s="149"/>
      <c r="DN84" s="149"/>
      <c r="DO84" s="149"/>
      <c r="DP84" s="149"/>
      <c r="DQ84" s="149"/>
      <c r="DR84" s="149"/>
      <c r="DS84" s="149"/>
      <c r="DT84" s="149"/>
      <c r="DU84" s="149"/>
      <c r="DV84" s="149"/>
      <c r="DW84" s="149"/>
      <c r="DX84" s="149"/>
      <c r="DY84" s="149"/>
      <c r="DZ84" s="149"/>
      <c r="EA84" s="149"/>
      <c r="EB84" s="149"/>
    </row>
    <row r="85" spans="1:132" s="1" customFormat="1" ht="25.5">
      <c r="A85" s="42" t="s">
        <v>145</v>
      </c>
      <c r="B85" s="278" t="s">
        <v>273</v>
      </c>
      <c r="C85" s="23">
        <v>100</v>
      </c>
      <c r="D85" s="23">
        <v>1.5</v>
      </c>
      <c r="E85" s="23">
        <v>183</v>
      </c>
      <c r="F85" s="274">
        <f>D85/C85*E85</f>
        <v>2.745</v>
      </c>
      <c r="G85" s="198"/>
      <c r="H85" s="209">
        <f>F85*G85</f>
        <v>0</v>
      </c>
      <c r="I85" s="291">
        <f>'Исход дан'!D47</f>
        <v>0</v>
      </c>
      <c r="J85" s="412">
        <f>F85*I85</f>
        <v>0</v>
      </c>
      <c r="K85" s="206">
        <f>H85*I85</f>
        <v>0</v>
      </c>
      <c r="L85" s="136"/>
      <c r="M85" s="136"/>
      <c r="N85" s="137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  <c r="BV85" s="149"/>
      <c r="BW85" s="149"/>
      <c r="BX85" s="149"/>
      <c r="BY85" s="149"/>
      <c r="BZ85" s="149"/>
      <c r="CA85" s="149"/>
      <c r="CB85" s="149"/>
      <c r="CC85" s="149"/>
      <c r="CD85" s="149"/>
      <c r="CE85" s="149"/>
      <c r="CF85" s="149"/>
      <c r="CG85" s="149"/>
      <c r="CH85" s="149"/>
      <c r="CI85" s="149"/>
      <c r="CJ85" s="149"/>
      <c r="CK85" s="149"/>
      <c r="CL85" s="149"/>
      <c r="CM85" s="149"/>
      <c r="CN85" s="149"/>
      <c r="CO85" s="149"/>
      <c r="CP85" s="149"/>
      <c r="CQ85" s="149"/>
      <c r="CR85" s="149"/>
      <c r="CS85" s="149"/>
      <c r="CT85" s="149"/>
      <c r="CU85" s="149"/>
      <c r="CV85" s="149"/>
      <c r="CW85" s="149"/>
      <c r="CX85" s="149"/>
      <c r="CY85" s="149"/>
      <c r="CZ85" s="149"/>
      <c r="DA85" s="149"/>
      <c r="DB85" s="149"/>
      <c r="DC85" s="149"/>
      <c r="DD85" s="149"/>
      <c r="DE85" s="149"/>
      <c r="DF85" s="149"/>
      <c r="DG85" s="149"/>
      <c r="DH85" s="149"/>
      <c r="DI85" s="149"/>
      <c r="DJ85" s="149"/>
      <c r="DK85" s="149"/>
      <c r="DL85" s="149"/>
      <c r="DM85" s="149"/>
      <c r="DN85" s="149"/>
      <c r="DO85" s="149"/>
      <c r="DP85" s="149"/>
      <c r="DQ85" s="149"/>
      <c r="DR85" s="149"/>
      <c r="DS85" s="149"/>
      <c r="DT85" s="149"/>
      <c r="DU85" s="149"/>
      <c r="DV85" s="149"/>
      <c r="DW85" s="149"/>
      <c r="DX85" s="149"/>
      <c r="DY85" s="149"/>
      <c r="DZ85" s="149"/>
      <c r="EA85" s="149"/>
      <c r="EB85" s="149"/>
    </row>
    <row r="86" spans="1:132" s="1" customFormat="1" ht="25.5">
      <c r="A86" s="73" t="s">
        <v>52</v>
      </c>
      <c r="B86" s="163"/>
      <c r="C86" s="298"/>
      <c r="D86" s="298"/>
      <c r="E86" s="298"/>
      <c r="F86" s="71"/>
      <c r="G86" s="198"/>
      <c r="H86" s="206"/>
      <c r="I86" s="291"/>
      <c r="J86" s="412"/>
      <c r="K86" s="206"/>
      <c r="L86" s="136"/>
      <c r="M86" s="136"/>
      <c r="N86" s="137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149"/>
      <c r="CD86" s="149"/>
      <c r="CE86" s="149"/>
      <c r="CF86" s="149"/>
      <c r="CG86" s="149"/>
      <c r="CH86" s="149"/>
      <c r="CI86" s="149"/>
      <c r="CJ86" s="149"/>
      <c r="CK86" s="149"/>
      <c r="CL86" s="149"/>
      <c r="CM86" s="149"/>
      <c r="CN86" s="149"/>
      <c r="CO86" s="149"/>
      <c r="CP86" s="149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49"/>
      <c r="DB86" s="149"/>
      <c r="DC86" s="149"/>
      <c r="DD86" s="149"/>
      <c r="DE86" s="149"/>
      <c r="DF86" s="149"/>
      <c r="DG86" s="149"/>
      <c r="DH86" s="149"/>
      <c r="DI86" s="149"/>
      <c r="DJ86" s="149"/>
      <c r="DK86" s="149"/>
      <c r="DL86" s="149"/>
      <c r="DM86" s="149"/>
      <c r="DN86" s="149"/>
      <c r="DO86" s="149"/>
      <c r="DP86" s="149"/>
      <c r="DQ86" s="149"/>
      <c r="DR86" s="149"/>
      <c r="DS86" s="149"/>
      <c r="DT86" s="149"/>
      <c r="DU86" s="149"/>
      <c r="DV86" s="149"/>
      <c r="DW86" s="149"/>
      <c r="DX86" s="149"/>
      <c r="DY86" s="149"/>
      <c r="DZ86" s="149"/>
      <c r="EA86" s="149"/>
      <c r="EB86" s="149"/>
    </row>
    <row r="87" spans="1:132" s="1" customFormat="1" ht="38.25">
      <c r="A87" s="42" t="s">
        <v>53</v>
      </c>
      <c r="B87" s="278" t="s">
        <v>494</v>
      </c>
      <c r="C87" s="23">
        <v>10</v>
      </c>
      <c r="D87" s="23">
        <v>0.2</v>
      </c>
      <c r="E87" s="23">
        <v>52</v>
      </c>
      <c r="F87" s="274">
        <f>D87/C87*E87</f>
        <v>1.04</v>
      </c>
      <c r="G87" s="198"/>
      <c r="H87" s="209">
        <f>F87*G87</f>
        <v>0</v>
      </c>
      <c r="I87" s="291">
        <f>'Исход дан'!D44</f>
        <v>0</v>
      </c>
      <c r="J87" s="412">
        <f>F87*I87</f>
        <v>0</v>
      </c>
      <c r="K87" s="206">
        <f>H87*I87</f>
        <v>0</v>
      </c>
      <c r="L87" s="136"/>
      <c r="M87" s="136"/>
      <c r="N87" s="137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149"/>
      <c r="CO87" s="149"/>
      <c r="CP87" s="149"/>
      <c r="CQ87" s="149"/>
      <c r="CR87" s="149"/>
      <c r="CS87" s="149"/>
      <c r="CT87" s="149"/>
      <c r="CU87" s="149"/>
      <c r="CV87" s="149"/>
      <c r="CW87" s="149"/>
      <c r="CX87" s="149"/>
      <c r="CY87" s="149"/>
      <c r="CZ87" s="149"/>
      <c r="DA87" s="149"/>
      <c r="DB87" s="149"/>
      <c r="DC87" s="149"/>
      <c r="DD87" s="149"/>
      <c r="DE87" s="149"/>
      <c r="DF87" s="149"/>
      <c r="DG87" s="149"/>
      <c r="DH87" s="149"/>
      <c r="DI87" s="149"/>
      <c r="DJ87" s="149"/>
      <c r="DK87" s="149"/>
      <c r="DL87" s="149"/>
      <c r="DM87" s="149"/>
      <c r="DN87" s="149"/>
      <c r="DO87" s="149"/>
      <c r="DP87" s="149"/>
      <c r="DQ87" s="149"/>
      <c r="DR87" s="149"/>
      <c r="DS87" s="149"/>
      <c r="DT87" s="149"/>
      <c r="DU87" s="149"/>
      <c r="DV87" s="149"/>
      <c r="DW87" s="149"/>
      <c r="DX87" s="149"/>
      <c r="DY87" s="149"/>
      <c r="DZ87" s="149"/>
      <c r="EA87" s="149"/>
      <c r="EB87" s="149"/>
    </row>
    <row r="88" spans="1:132" s="1" customFormat="1" ht="28.5" customHeight="1">
      <c r="A88" s="73" t="s">
        <v>47</v>
      </c>
      <c r="B88" s="163"/>
      <c r="C88" s="36"/>
      <c r="D88" s="36"/>
      <c r="E88" s="36"/>
      <c r="F88" s="71"/>
      <c r="G88" s="198"/>
      <c r="H88" s="206"/>
      <c r="I88" s="291"/>
      <c r="J88" s="412"/>
      <c r="K88" s="206"/>
      <c r="L88" s="136"/>
      <c r="M88" s="136"/>
      <c r="N88" s="137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49"/>
      <c r="BV88" s="149"/>
      <c r="BW88" s="149"/>
      <c r="BX88" s="149"/>
      <c r="BY88" s="149"/>
      <c r="BZ88" s="149"/>
      <c r="CA88" s="149"/>
      <c r="CB88" s="149"/>
      <c r="CC88" s="149"/>
      <c r="CD88" s="149"/>
      <c r="CE88" s="149"/>
      <c r="CF88" s="149"/>
      <c r="CG88" s="149"/>
      <c r="CH88" s="149"/>
      <c r="CI88" s="149"/>
      <c r="CJ88" s="149"/>
      <c r="CK88" s="149"/>
      <c r="CL88" s="149"/>
      <c r="CM88" s="149"/>
      <c r="CN88" s="149"/>
      <c r="CO88" s="149"/>
      <c r="CP88" s="149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49"/>
      <c r="DB88" s="149"/>
      <c r="DC88" s="149"/>
      <c r="DD88" s="149"/>
      <c r="DE88" s="149"/>
      <c r="DF88" s="149"/>
      <c r="DG88" s="149"/>
      <c r="DH88" s="149"/>
      <c r="DI88" s="149"/>
      <c r="DJ88" s="149"/>
      <c r="DK88" s="149"/>
      <c r="DL88" s="149"/>
      <c r="DM88" s="149"/>
      <c r="DN88" s="149"/>
      <c r="DO88" s="149"/>
      <c r="DP88" s="149"/>
      <c r="DQ88" s="149"/>
      <c r="DR88" s="149"/>
      <c r="DS88" s="149"/>
      <c r="DT88" s="149"/>
      <c r="DU88" s="149"/>
      <c r="DV88" s="149"/>
      <c r="DW88" s="149"/>
      <c r="DX88" s="149"/>
      <c r="DY88" s="149"/>
      <c r="DZ88" s="149"/>
      <c r="EA88" s="149"/>
      <c r="EB88" s="149"/>
    </row>
    <row r="89" spans="1:132" s="1" customFormat="1" ht="38.25">
      <c r="A89" s="42" t="s">
        <v>143</v>
      </c>
      <c r="B89" s="278" t="s">
        <v>274</v>
      </c>
      <c r="C89" s="23">
        <v>100</v>
      </c>
      <c r="D89" s="23">
        <v>1.5</v>
      </c>
      <c r="E89" s="23">
        <v>12</v>
      </c>
      <c r="F89" s="274">
        <f>D89/C89*E89</f>
        <v>0.18</v>
      </c>
      <c r="G89" s="198"/>
      <c r="H89" s="209">
        <f>F89*G89</f>
        <v>0</v>
      </c>
      <c r="I89" s="291">
        <f>'Исход дан'!D46</f>
        <v>0</v>
      </c>
      <c r="J89" s="412">
        <f>F89*I89</f>
        <v>0</v>
      </c>
      <c r="K89" s="206">
        <f>H89*I89</f>
        <v>0</v>
      </c>
      <c r="L89" s="136"/>
      <c r="M89" s="136"/>
      <c r="N89" s="137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  <c r="CC89" s="149"/>
      <c r="CD89" s="149"/>
      <c r="CE89" s="149"/>
      <c r="CF89" s="149"/>
      <c r="CG89" s="149"/>
      <c r="CH89" s="149"/>
      <c r="CI89" s="149"/>
      <c r="CJ89" s="149"/>
      <c r="CK89" s="149"/>
      <c r="CL89" s="149"/>
      <c r="CM89" s="149"/>
      <c r="CN89" s="149"/>
      <c r="CO89" s="149"/>
      <c r="CP89" s="149"/>
      <c r="CQ89" s="149"/>
      <c r="CR89" s="149"/>
      <c r="CS89" s="149"/>
      <c r="CT89" s="149"/>
      <c r="CU89" s="149"/>
      <c r="CV89" s="149"/>
      <c r="CW89" s="149"/>
      <c r="CX89" s="149"/>
      <c r="CY89" s="149"/>
      <c r="CZ89" s="149"/>
      <c r="DA89" s="149"/>
      <c r="DB89" s="149"/>
      <c r="DC89" s="149"/>
      <c r="DD89" s="149"/>
      <c r="DE89" s="149"/>
      <c r="DF89" s="149"/>
      <c r="DG89" s="149"/>
      <c r="DH89" s="149"/>
      <c r="DI89" s="149"/>
      <c r="DJ89" s="149"/>
      <c r="DK89" s="149"/>
      <c r="DL89" s="149"/>
      <c r="DM89" s="149"/>
      <c r="DN89" s="149"/>
      <c r="DO89" s="149"/>
      <c r="DP89" s="149"/>
      <c r="DQ89" s="149"/>
      <c r="DR89" s="149"/>
      <c r="DS89" s="149"/>
      <c r="DT89" s="149"/>
      <c r="DU89" s="149"/>
      <c r="DV89" s="149"/>
      <c r="DW89" s="149"/>
      <c r="DX89" s="149"/>
      <c r="DY89" s="149"/>
      <c r="DZ89" s="149"/>
      <c r="EA89" s="149"/>
      <c r="EB89" s="149"/>
    </row>
    <row r="90" spans="1:11" ht="38.25">
      <c r="A90" s="42" t="s">
        <v>144</v>
      </c>
      <c r="B90" s="278" t="s">
        <v>275</v>
      </c>
      <c r="C90" s="406">
        <v>100</v>
      </c>
      <c r="D90" s="406">
        <v>5.38</v>
      </c>
      <c r="E90" s="406">
        <v>12</v>
      </c>
      <c r="F90" s="273">
        <f>D90/C90*E90</f>
        <v>0.6456</v>
      </c>
      <c r="G90" s="103"/>
      <c r="H90" s="209">
        <f>F90*G90</f>
        <v>0</v>
      </c>
      <c r="I90" s="291">
        <f>'Исход дан'!D46</f>
        <v>0</v>
      </c>
      <c r="J90" s="412">
        <f>F90*I90</f>
        <v>0</v>
      </c>
      <c r="K90" s="206">
        <f>H90*I90</f>
        <v>0</v>
      </c>
    </row>
    <row r="91" spans="1:132" s="1" customFormat="1" ht="25.5" customHeight="1">
      <c r="A91" s="73" t="s">
        <v>48</v>
      </c>
      <c r="B91" s="163"/>
      <c r="C91" s="298"/>
      <c r="D91" s="298"/>
      <c r="E91" s="298"/>
      <c r="F91" s="71"/>
      <c r="G91" s="198"/>
      <c r="H91" s="206"/>
      <c r="I91" s="291"/>
      <c r="J91" s="412"/>
      <c r="K91" s="206"/>
      <c r="L91" s="136"/>
      <c r="M91" s="136"/>
      <c r="N91" s="137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149"/>
      <c r="BY91" s="149"/>
      <c r="BZ91" s="149"/>
      <c r="CA91" s="149"/>
      <c r="CB91" s="149"/>
      <c r="CC91" s="149"/>
      <c r="CD91" s="149"/>
      <c r="CE91" s="149"/>
      <c r="CF91" s="149"/>
      <c r="CG91" s="149"/>
      <c r="CH91" s="149"/>
      <c r="CI91" s="149"/>
      <c r="CJ91" s="149"/>
      <c r="CK91" s="149"/>
      <c r="CL91" s="149"/>
      <c r="CM91" s="149"/>
      <c r="CN91" s="149"/>
      <c r="CO91" s="149"/>
      <c r="CP91" s="149"/>
      <c r="CQ91" s="149"/>
      <c r="CR91" s="149"/>
      <c r="CS91" s="149"/>
      <c r="CT91" s="149"/>
      <c r="CU91" s="149"/>
      <c r="CV91" s="149"/>
      <c r="CW91" s="149"/>
      <c r="CX91" s="149"/>
      <c r="CY91" s="149"/>
      <c r="CZ91" s="149"/>
      <c r="DA91" s="149"/>
      <c r="DB91" s="149"/>
      <c r="DC91" s="149"/>
      <c r="DD91" s="149"/>
      <c r="DE91" s="149"/>
      <c r="DF91" s="149"/>
      <c r="DG91" s="149"/>
      <c r="DH91" s="149"/>
      <c r="DI91" s="149"/>
      <c r="DJ91" s="149"/>
      <c r="DK91" s="149"/>
      <c r="DL91" s="149"/>
      <c r="DM91" s="149"/>
      <c r="DN91" s="149"/>
      <c r="DO91" s="149"/>
      <c r="DP91" s="149"/>
      <c r="DQ91" s="149"/>
      <c r="DR91" s="149"/>
      <c r="DS91" s="149"/>
      <c r="DT91" s="149"/>
      <c r="DU91" s="149"/>
      <c r="DV91" s="149"/>
      <c r="DW91" s="149"/>
      <c r="DX91" s="149"/>
      <c r="DY91" s="149"/>
      <c r="DZ91" s="149"/>
      <c r="EA91" s="149"/>
      <c r="EB91" s="149"/>
    </row>
    <row r="92" spans="1:132" s="1" customFormat="1" ht="25.5">
      <c r="A92" s="42" t="s">
        <v>49</v>
      </c>
      <c r="B92" s="278" t="s">
        <v>306</v>
      </c>
      <c r="C92" s="23">
        <v>10</v>
      </c>
      <c r="D92" s="23">
        <v>1.5</v>
      </c>
      <c r="E92" s="23">
        <v>12</v>
      </c>
      <c r="F92" s="274">
        <f>D92/C92*E92</f>
        <v>1.7999999999999998</v>
      </c>
      <c r="G92" s="198"/>
      <c r="H92" s="209">
        <f>F92*G92</f>
        <v>0</v>
      </c>
      <c r="I92" s="291">
        <f>'Исход дан'!D47</f>
        <v>0</v>
      </c>
      <c r="J92" s="412">
        <f>F92*I92</f>
        <v>0</v>
      </c>
      <c r="K92" s="206">
        <f>H92*I92</f>
        <v>0</v>
      </c>
      <c r="L92" s="136"/>
      <c r="M92" s="136"/>
      <c r="N92" s="137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49"/>
      <c r="CA92" s="149"/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/>
      <c r="DD92" s="149"/>
      <c r="DE92" s="149"/>
      <c r="DF92" s="149"/>
      <c r="DG92" s="149"/>
      <c r="DH92" s="149"/>
      <c r="DI92" s="149"/>
      <c r="DJ92" s="149"/>
      <c r="DK92" s="149"/>
      <c r="DL92" s="149"/>
      <c r="DM92" s="149"/>
      <c r="DN92" s="149"/>
      <c r="DO92" s="149"/>
      <c r="DP92" s="149"/>
      <c r="DQ92" s="149"/>
      <c r="DR92" s="149"/>
      <c r="DS92" s="149"/>
      <c r="DT92" s="149"/>
      <c r="DU92" s="149"/>
      <c r="DV92" s="149"/>
      <c r="DW92" s="149"/>
      <c r="DX92" s="149"/>
      <c r="DY92" s="149"/>
      <c r="DZ92" s="149"/>
      <c r="EA92" s="149"/>
      <c r="EB92" s="149"/>
    </row>
    <row r="93" spans="1:11" ht="25.5">
      <c r="A93" s="42" t="s">
        <v>50</v>
      </c>
      <c r="B93" s="278" t="s">
        <v>276</v>
      </c>
      <c r="C93" s="406">
        <v>10</v>
      </c>
      <c r="D93" s="406">
        <v>5.38</v>
      </c>
      <c r="E93" s="406">
        <v>12</v>
      </c>
      <c r="F93" s="274">
        <f>D93/C93*E93</f>
        <v>6.456</v>
      </c>
      <c r="G93" s="103"/>
      <c r="H93" s="209">
        <f>F93*G93</f>
        <v>0</v>
      </c>
      <c r="I93" s="291">
        <f>'Исход дан'!D47</f>
        <v>0</v>
      </c>
      <c r="J93" s="412">
        <f>F93*I93</f>
        <v>0</v>
      </c>
      <c r="K93" s="206">
        <f>H93*I93</f>
        <v>0</v>
      </c>
    </row>
    <row r="94" spans="1:11" ht="12.75">
      <c r="A94" s="47"/>
      <c r="B94" s="161"/>
      <c r="C94" s="279"/>
      <c r="D94" s="279"/>
      <c r="E94" s="279"/>
      <c r="F94" s="37"/>
      <c r="G94" s="104"/>
      <c r="H94" s="206"/>
      <c r="I94" s="277"/>
      <c r="J94" s="416"/>
      <c r="K94" s="206"/>
    </row>
    <row r="95" spans="1:132" s="4" customFormat="1" ht="25.5">
      <c r="A95" s="75" t="s">
        <v>394</v>
      </c>
      <c r="B95" s="171"/>
      <c r="C95" s="76"/>
      <c r="D95" s="76"/>
      <c r="E95" s="76"/>
      <c r="F95" s="57"/>
      <c r="G95" s="203"/>
      <c r="H95" s="561">
        <f>SUM(H83:H94)</f>
        <v>0</v>
      </c>
      <c r="I95" s="293"/>
      <c r="J95" s="420"/>
      <c r="K95" s="215">
        <f>SUM(K83:K94)</f>
        <v>0</v>
      </c>
      <c r="L95" s="138"/>
      <c r="M95" s="138"/>
      <c r="N95" s="138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2"/>
      <c r="BX95" s="142"/>
      <c r="BY95" s="142"/>
      <c r="BZ95" s="142"/>
      <c r="CA95" s="142"/>
      <c r="CB95" s="142"/>
      <c r="CC95" s="142"/>
      <c r="CD95" s="142"/>
      <c r="CE95" s="142"/>
      <c r="CF95" s="142"/>
      <c r="CG95" s="142"/>
      <c r="CH95" s="142"/>
      <c r="CI95" s="142"/>
      <c r="CJ95" s="142"/>
      <c r="CK95" s="142"/>
      <c r="CL95" s="142"/>
      <c r="CM95" s="142"/>
      <c r="CN95" s="142"/>
      <c r="CO95" s="142"/>
      <c r="CP95" s="142"/>
      <c r="CQ95" s="142"/>
      <c r="CR95" s="142"/>
      <c r="CS95" s="142"/>
      <c r="CT95" s="142"/>
      <c r="CU95" s="142"/>
      <c r="CV95" s="142"/>
      <c r="CW95" s="142"/>
      <c r="CX95" s="142"/>
      <c r="CY95" s="142"/>
      <c r="CZ95" s="142"/>
      <c r="DA95" s="142"/>
      <c r="DB95" s="142"/>
      <c r="DC95" s="142"/>
      <c r="DD95" s="142"/>
      <c r="DE95" s="142"/>
      <c r="DF95" s="142"/>
      <c r="DG95" s="142"/>
      <c r="DH95" s="142"/>
      <c r="DI95" s="142"/>
      <c r="DJ95" s="142"/>
      <c r="DK95" s="142"/>
      <c r="DL95" s="142"/>
      <c r="DM95" s="142"/>
      <c r="DN95" s="142"/>
      <c r="DO95" s="142"/>
      <c r="DP95" s="142"/>
      <c r="DQ95" s="142"/>
      <c r="DR95" s="142"/>
      <c r="DS95" s="142"/>
      <c r="DT95" s="142"/>
      <c r="DU95" s="142"/>
      <c r="DV95" s="142"/>
      <c r="DW95" s="142"/>
      <c r="DX95" s="142"/>
      <c r="DY95" s="142"/>
      <c r="DZ95" s="142"/>
      <c r="EA95" s="142"/>
      <c r="EB95" s="142"/>
    </row>
    <row r="96" spans="1:132" s="5" customFormat="1" ht="12.75">
      <c r="A96" s="562" t="s">
        <v>375</v>
      </c>
      <c r="B96" s="161" t="s">
        <v>377</v>
      </c>
      <c r="C96" s="77"/>
      <c r="D96" s="77"/>
      <c r="E96" s="77"/>
      <c r="F96" s="77">
        <v>12</v>
      </c>
      <c r="G96" s="104">
        <v>11</v>
      </c>
      <c r="H96" s="209">
        <f>F96*G96</f>
        <v>132</v>
      </c>
      <c r="I96" s="744">
        <v>0.349</v>
      </c>
      <c r="J96" s="563">
        <f>F96*I96</f>
        <v>4.188</v>
      </c>
      <c r="K96" s="206">
        <f>H96*I96</f>
        <v>46.068</v>
      </c>
      <c r="L96" s="118"/>
      <c r="M96" s="118"/>
      <c r="N96" s="118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39"/>
      <c r="CS96" s="139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39"/>
      <c r="DF96" s="139"/>
      <c r="DG96" s="139"/>
      <c r="DH96" s="139"/>
      <c r="DI96" s="139"/>
      <c r="DJ96" s="139"/>
      <c r="DK96" s="139"/>
      <c r="DL96" s="139"/>
      <c r="DM96" s="139"/>
      <c r="DN96" s="139"/>
      <c r="DO96" s="139"/>
      <c r="DP96" s="139"/>
      <c r="DQ96" s="139"/>
      <c r="DR96" s="139"/>
      <c r="DS96" s="139"/>
      <c r="DT96" s="139"/>
      <c r="DU96" s="139"/>
      <c r="DV96" s="139"/>
      <c r="DW96" s="139"/>
      <c r="DX96" s="139"/>
      <c r="DY96" s="139"/>
      <c r="DZ96" s="139"/>
      <c r="EA96" s="139"/>
      <c r="EB96" s="139"/>
    </row>
    <row r="97" spans="1:132" s="5" customFormat="1" ht="38.25">
      <c r="A97" s="562" t="s">
        <v>376</v>
      </c>
      <c r="B97" s="161" t="s">
        <v>395</v>
      </c>
      <c r="C97" s="77">
        <v>1</v>
      </c>
      <c r="D97" s="77">
        <v>27</v>
      </c>
      <c r="E97" s="77">
        <v>1</v>
      </c>
      <c r="F97" s="274">
        <v>27</v>
      </c>
      <c r="G97" s="104">
        <v>10</v>
      </c>
      <c r="H97" s="209">
        <f>F97*G97</f>
        <v>270</v>
      </c>
      <c r="I97" s="292"/>
      <c r="J97" s="421"/>
      <c r="K97" s="686">
        <f>F97*G97</f>
        <v>270</v>
      </c>
      <c r="L97" s="118"/>
      <c r="M97" s="118"/>
      <c r="N97" s="118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39"/>
      <c r="DE97" s="139"/>
      <c r="DF97" s="139"/>
      <c r="DG97" s="139"/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  <c r="DT97" s="139"/>
      <c r="DU97" s="139"/>
      <c r="DV97" s="139"/>
      <c r="DW97" s="139"/>
      <c r="DX97" s="139"/>
      <c r="DY97" s="139"/>
      <c r="DZ97" s="139"/>
      <c r="EA97" s="139"/>
      <c r="EB97" s="139"/>
    </row>
    <row r="98" spans="1:132" s="5" customFormat="1" ht="25.5">
      <c r="A98" s="153" t="s">
        <v>378</v>
      </c>
      <c r="B98" s="120" t="s">
        <v>396</v>
      </c>
      <c r="C98" s="32">
        <v>1</v>
      </c>
      <c r="D98" s="32">
        <v>3</v>
      </c>
      <c r="E98" s="32">
        <v>4</v>
      </c>
      <c r="F98" s="274">
        <v>12</v>
      </c>
      <c r="G98" s="103">
        <v>10</v>
      </c>
      <c r="H98" s="209">
        <f>F98*G98</f>
        <v>120</v>
      </c>
      <c r="I98" s="408"/>
      <c r="J98" s="422"/>
      <c r="K98" s="686">
        <f>F98*G98</f>
        <v>120</v>
      </c>
      <c r="L98" s="118"/>
      <c r="M98" s="118"/>
      <c r="N98" s="118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  <c r="DT98" s="139"/>
      <c r="DU98" s="139"/>
      <c r="DV98" s="139"/>
      <c r="DW98" s="139"/>
      <c r="DX98" s="139"/>
      <c r="DY98" s="139"/>
      <c r="DZ98" s="139"/>
      <c r="EA98" s="139"/>
      <c r="EB98" s="139"/>
    </row>
    <row r="99" spans="1:132" s="5" customFormat="1" ht="12.75">
      <c r="A99" s="9"/>
      <c r="B99" s="120"/>
      <c r="C99" s="32"/>
      <c r="D99" s="32"/>
      <c r="E99" s="32"/>
      <c r="F99" s="32"/>
      <c r="G99" s="102"/>
      <c r="H99" s="407"/>
      <c r="I99" s="408"/>
      <c r="J99" s="422"/>
      <c r="K99" s="407"/>
      <c r="L99" s="118"/>
      <c r="M99" s="118"/>
      <c r="N99" s="118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39"/>
      <c r="CR99" s="139"/>
      <c r="CS99" s="139"/>
      <c r="CT99" s="139"/>
      <c r="CU99" s="139"/>
      <c r="CV99" s="139"/>
      <c r="CW99" s="139"/>
      <c r="CX99" s="139"/>
      <c r="CY99" s="139"/>
      <c r="CZ99" s="139"/>
      <c r="DA99" s="139"/>
      <c r="DB99" s="139"/>
      <c r="DC99" s="139"/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  <c r="DV99" s="139"/>
      <c r="DW99" s="139"/>
      <c r="DX99" s="139"/>
      <c r="DY99" s="139"/>
      <c r="DZ99" s="139"/>
      <c r="EA99" s="139"/>
      <c r="EB99" s="139"/>
    </row>
    <row r="100" spans="1:132" s="5" customFormat="1" ht="12.75">
      <c r="A100" s="9"/>
      <c r="B100" s="120"/>
      <c r="C100" s="11"/>
      <c r="D100" s="11"/>
      <c r="E100" s="11"/>
      <c r="F100" s="11"/>
      <c r="G100" s="197"/>
      <c r="H100" s="407"/>
      <c r="I100" s="408"/>
      <c r="J100" s="422"/>
      <c r="K100" s="407"/>
      <c r="L100" s="118"/>
      <c r="M100" s="118"/>
      <c r="N100" s="118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39"/>
      <c r="CT100" s="139"/>
      <c r="CU100" s="139"/>
      <c r="CV100" s="139"/>
      <c r="CW100" s="139"/>
      <c r="CX100" s="139"/>
      <c r="CY100" s="139"/>
      <c r="CZ100" s="139"/>
      <c r="DA100" s="139"/>
      <c r="DB100" s="139"/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39"/>
      <c r="DT100" s="139"/>
      <c r="DU100" s="139"/>
      <c r="DV100" s="139"/>
      <c r="DW100" s="139"/>
      <c r="DX100" s="139"/>
      <c r="DY100" s="139"/>
      <c r="DZ100" s="139"/>
      <c r="EA100" s="139"/>
      <c r="EB100" s="139"/>
    </row>
    <row r="101" spans="1:132" s="74" customFormat="1" ht="32.25" customHeight="1" thickBot="1">
      <c r="A101" s="500" t="s">
        <v>54</v>
      </c>
      <c r="B101" s="501"/>
      <c r="C101" s="502"/>
      <c r="D101" s="502"/>
      <c r="E101" s="502"/>
      <c r="F101" s="502"/>
      <c r="G101" s="503"/>
      <c r="H101" s="504">
        <f>H13+H22+H30+H43+H56+H69+H79+H95</f>
        <v>9400.939683333334</v>
      </c>
      <c r="I101" s="505"/>
      <c r="J101" s="503"/>
      <c r="K101" s="504" t="e">
        <f>K13+K22+K30+K43+K56+K69+K79+K44+K71+K95+K96+K97+K98</f>
        <v>#DIV/0!</v>
      </c>
      <c r="L101" s="150"/>
      <c r="M101" s="151"/>
      <c r="N101" s="151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2"/>
      <c r="CA101" s="152"/>
      <c r="CB101" s="152"/>
      <c r="CC101" s="152"/>
      <c r="CD101" s="152"/>
      <c r="CE101" s="152"/>
      <c r="CF101" s="152"/>
      <c r="CG101" s="152"/>
      <c r="CH101" s="152"/>
      <c r="CI101" s="152"/>
      <c r="CJ101" s="152"/>
      <c r="CK101" s="152"/>
      <c r="CL101" s="152"/>
      <c r="CM101" s="152"/>
      <c r="CN101" s="152"/>
      <c r="CO101" s="152"/>
      <c r="CP101" s="152"/>
      <c r="CQ101" s="152"/>
      <c r="CR101" s="152"/>
      <c r="CS101" s="152"/>
      <c r="CT101" s="152"/>
      <c r="CU101" s="152"/>
      <c r="CV101" s="152"/>
      <c r="CW101" s="152"/>
      <c r="CX101" s="152"/>
      <c r="CY101" s="152"/>
      <c r="CZ101" s="152"/>
      <c r="DA101" s="152"/>
      <c r="DB101" s="152"/>
      <c r="DC101" s="152"/>
      <c r="DD101" s="152"/>
      <c r="DE101" s="152"/>
      <c r="DF101" s="152"/>
      <c r="DG101" s="152"/>
      <c r="DH101" s="152"/>
      <c r="DI101" s="152"/>
      <c r="DJ101" s="152"/>
      <c r="DK101" s="152"/>
      <c r="DL101" s="152"/>
      <c r="DM101" s="152"/>
      <c r="DN101" s="152"/>
      <c r="DO101" s="152"/>
      <c r="DP101" s="152"/>
      <c r="DQ101" s="152"/>
      <c r="DR101" s="152"/>
      <c r="DS101" s="152"/>
      <c r="DT101" s="152"/>
      <c r="DU101" s="152"/>
      <c r="DV101" s="152"/>
      <c r="DW101" s="152"/>
      <c r="DX101" s="152"/>
      <c r="DY101" s="152"/>
      <c r="DZ101" s="152"/>
      <c r="EA101" s="152"/>
      <c r="EB101" s="152"/>
    </row>
  </sheetData>
  <sheetProtection/>
  <mergeCells count="5">
    <mergeCell ref="C3:D3"/>
    <mergeCell ref="E3:E4"/>
    <mergeCell ref="I3:J3"/>
    <mergeCell ref="A1:K1"/>
    <mergeCell ref="A3:A4"/>
  </mergeCells>
  <printOptions/>
  <pageMargins left="0.1968503937007874" right="0" top="0.7874015748031497" bottom="0.5905511811023623" header="0.31496062992125984" footer="0.31496062992125984"/>
  <pageSetup fitToHeight="3" horizontalDpi="600" verticalDpi="600" orientation="portrait" paperSize="9" scale="82" r:id="rId1"/>
  <headerFooter alignWithMargins="0">
    <oddFooter>&amp;CСтраница &amp;P из &amp;N</oddFooter>
  </headerFooter>
  <rowBreaks count="1" manualBreakCount="1"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55"/>
  <sheetViews>
    <sheetView zoomScalePageLayoutView="0" workbookViewId="0" topLeftCell="A16">
      <selection activeCell="H21" sqref="H21"/>
    </sheetView>
  </sheetViews>
  <sheetFormatPr defaultColWidth="9.00390625" defaultRowHeight="12.75"/>
  <cols>
    <col min="1" max="1" width="4.625" style="0" customWidth="1"/>
    <col min="2" max="2" width="16.625" style="0" customWidth="1"/>
    <col min="3" max="3" width="24.25390625" style="0" customWidth="1"/>
    <col min="4" max="4" width="9.625" style="0" customWidth="1"/>
    <col min="5" max="5" width="7.375" style="0" customWidth="1"/>
    <col min="7" max="7" width="10.625" style="0" customWidth="1"/>
    <col min="8" max="8" width="10.25390625" style="0" customWidth="1"/>
    <col min="9" max="9" width="9.875" style="0" customWidth="1"/>
    <col min="10" max="10" width="12.375" style="0" customWidth="1"/>
  </cols>
  <sheetData>
    <row r="1" spans="1:10" ht="33" customHeight="1">
      <c r="A1" s="6"/>
      <c r="B1" s="922" t="s">
        <v>734</v>
      </c>
      <c r="C1" s="922"/>
      <c r="D1" s="922"/>
      <c r="E1" s="922"/>
      <c r="F1" s="922"/>
      <c r="G1" s="922"/>
      <c r="H1" s="922"/>
      <c r="I1" s="922"/>
      <c r="J1" s="219"/>
    </row>
    <row r="2" spans="1:10" ht="13.5" thickBot="1">
      <c r="A2" s="3"/>
      <c r="B2" s="29" t="s">
        <v>447</v>
      </c>
      <c r="C2" s="3"/>
      <c r="D2" s="3"/>
      <c r="E2" s="3"/>
      <c r="F2" s="26"/>
      <c r="G2" s="3"/>
      <c r="H2" s="3"/>
      <c r="I2" s="26"/>
      <c r="J2" s="3"/>
    </row>
    <row r="3" spans="1:10" ht="48">
      <c r="A3" s="506" t="s">
        <v>107</v>
      </c>
      <c r="B3" s="442" t="s">
        <v>448</v>
      </c>
      <c r="C3" s="442" t="s">
        <v>108</v>
      </c>
      <c r="D3" s="442" t="s">
        <v>109</v>
      </c>
      <c r="E3" s="442" t="s">
        <v>109</v>
      </c>
      <c r="F3" s="442" t="s">
        <v>110</v>
      </c>
      <c r="G3" s="154" t="s">
        <v>113</v>
      </c>
      <c r="H3" s="154" t="s">
        <v>283</v>
      </c>
      <c r="I3" s="507" t="s">
        <v>250</v>
      </c>
      <c r="J3" s="508" t="s">
        <v>268</v>
      </c>
    </row>
    <row r="4" spans="1:10" ht="36.75" thickBot="1">
      <c r="A4" s="509"/>
      <c r="B4" s="510"/>
      <c r="C4" s="510"/>
      <c r="D4" s="511"/>
      <c r="E4" s="510" t="s">
        <v>282</v>
      </c>
      <c r="F4" s="512" t="s">
        <v>281</v>
      </c>
      <c r="G4" s="294" t="s">
        <v>280</v>
      </c>
      <c r="H4" s="295" t="s">
        <v>279</v>
      </c>
      <c r="I4" s="513" t="s">
        <v>407</v>
      </c>
      <c r="J4" s="339" t="s">
        <v>284</v>
      </c>
    </row>
    <row r="5" spans="1:10" ht="15" customHeight="1" thickBot="1">
      <c r="A5" s="58">
        <v>1</v>
      </c>
      <c r="B5" s="19">
        <v>2</v>
      </c>
      <c r="C5" s="19">
        <v>3</v>
      </c>
      <c r="D5" s="58">
        <v>4</v>
      </c>
      <c r="E5" s="58">
        <v>5</v>
      </c>
      <c r="F5" s="19">
        <v>6</v>
      </c>
      <c r="G5" s="19">
        <v>7</v>
      </c>
      <c r="H5" s="58">
        <v>8</v>
      </c>
      <c r="I5" s="205">
        <v>9</v>
      </c>
      <c r="J5" s="340">
        <v>10</v>
      </c>
    </row>
    <row r="6" spans="1:10" ht="18" customHeight="1" thickBot="1">
      <c r="A6" s="514"/>
      <c r="B6" s="348"/>
      <c r="C6" s="554" t="s">
        <v>182</v>
      </c>
      <c r="D6" s="515"/>
      <c r="E6" s="348"/>
      <c r="F6" s="348"/>
      <c r="G6" s="515"/>
      <c r="H6" s="516"/>
      <c r="I6" s="517"/>
      <c r="J6" s="518">
        <f>'Исход дан'!D11</f>
        <v>943.6</v>
      </c>
    </row>
    <row r="7" spans="1:10" ht="51.75" customHeight="1">
      <c r="A7" s="42">
        <v>1</v>
      </c>
      <c r="B7" s="34" t="s">
        <v>450</v>
      </c>
      <c r="C7" s="784" t="s">
        <v>111</v>
      </c>
      <c r="D7" s="784" t="s">
        <v>165</v>
      </c>
      <c r="E7" s="785">
        <v>1</v>
      </c>
      <c r="F7" s="805">
        <f>'Исход дан'!D17</f>
        <v>8</v>
      </c>
      <c r="G7" s="785">
        <v>1</v>
      </c>
      <c r="H7" s="783">
        <f>5250*1.06*1.06/165.2*0.012*1.202</f>
        <v>0.5150468135593221</v>
      </c>
      <c r="I7" s="786">
        <f>F7/E7*G7*H7</f>
        <v>4.120374508474577</v>
      </c>
      <c r="J7" s="787">
        <f>I7/J$6/12</f>
        <v>0.00036388781514718247</v>
      </c>
    </row>
    <row r="8" spans="1:10" ht="33.75" customHeight="1">
      <c r="A8" s="42">
        <v>2</v>
      </c>
      <c r="B8" s="34" t="s">
        <v>451</v>
      </c>
      <c r="C8" s="784" t="s">
        <v>166</v>
      </c>
      <c r="D8" s="784" t="s">
        <v>165</v>
      </c>
      <c r="E8" s="785">
        <v>1</v>
      </c>
      <c r="F8" s="785">
        <f>'Исход дан'!D14</f>
        <v>500.7</v>
      </c>
      <c r="G8" s="785">
        <v>1</v>
      </c>
      <c r="H8" s="783">
        <v>0</v>
      </c>
      <c r="I8" s="786">
        <f aca="true" t="shared" si="0" ref="I8:I20">F8/E8*G8*H8</f>
        <v>0</v>
      </c>
      <c r="J8" s="787">
        <f aca="true" t="shared" si="1" ref="J8:J20">I8/J$6/12</f>
        <v>0</v>
      </c>
    </row>
    <row r="9" spans="1:13" ht="33.75" customHeight="1">
      <c r="A9" s="42">
        <v>3</v>
      </c>
      <c r="B9" s="784" t="s">
        <v>452</v>
      </c>
      <c r="C9" s="784" t="s">
        <v>167</v>
      </c>
      <c r="D9" s="784" t="s">
        <v>165</v>
      </c>
      <c r="E9" s="785">
        <v>1</v>
      </c>
      <c r="F9" s="785">
        <f>'Исход дан'!D14</f>
        <v>500.7</v>
      </c>
      <c r="G9" s="785">
        <v>1</v>
      </c>
      <c r="H9" s="783">
        <f>5250*1.06*1.06/165.2*0.09*1.202*0.3</f>
        <v>1.1588553305084746</v>
      </c>
      <c r="I9" s="786">
        <f t="shared" si="0"/>
        <v>580.2388639855932</v>
      </c>
      <c r="J9" s="787">
        <f t="shared" si="1"/>
        <v>0.05124336441867963</v>
      </c>
      <c r="K9" s="806">
        <v>0.171</v>
      </c>
      <c r="M9">
        <v>2229.85</v>
      </c>
    </row>
    <row r="10" spans="1:10" ht="43.5" customHeight="1">
      <c r="A10" s="42">
        <v>4</v>
      </c>
      <c r="B10" s="804" t="s">
        <v>453</v>
      </c>
      <c r="C10" s="804" t="s">
        <v>126</v>
      </c>
      <c r="D10" s="804" t="s">
        <v>127</v>
      </c>
      <c r="E10" s="827">
        <v>1</v>
      </c>
      <c r="F10" s="827">
        <f>'Исход дан'!D19</f>
        <v>36</v>
      </c>
      <c r="G10" s="827">
        <v>1</v>
      </c>
      <c r="H10" s="789">
        <f>8347.5*1.06*1.06/165.2*0.56*1.202</f>
        <v>38.2164735661017</v>
      </c>
      <c r="I10" s="828">
        <f t="shared" si="0"/>
        <v>1375.793048379661</v>
      </c>
      <c r="J10" s="829">
        <f t="shared" si="1"/>
        <v>0.12150214147764422</v>
      </c>
    </row>
    <row r="11" spans="1:10" ht="67.5" customHeight="1">
      <c r="A11" s="42">
        <v>5</v>
      </c>
      <c r="B11" s="804" t="s">
        <v>454</v>
      </c>
      <c r="C11" s="804" t="s">
        <v>117</v>
      </c>
      <c r="D11" s="804" t="s">
        <v>116</v>
      </c>
      <c r="E11" s="827">
        <v>1</v>
      </c>
      <c r="F11" s="796">
        <f>'Исход дан'!D20</f>
        <v>60</v>
      </c>
      <c r="G11" s="827">
        <v>1</v>
      </c>
      <c r="H11" s="789">
        <f>8347.5*1.06*1.06/165.2*0.52*1.202*0</f>
        <v>0</v>
      </c>
      <c r="I11" s="828">
        <f t="shared" si="0"/>
        <v>0</v>
      </c>
      <c r="J11" s="829">
        <f t="shared" si="1"/>
        <v>0</v>
      </c>
    </row>
    <row r="12" spans="1:10" ht="64.5" customHeight="1">
      <c r="A12" s="42">
        <v>6</v>
      </c>
      <c r="B12" s="804" t="s">
        <v>455</v>
      </c>
      <c r="C12" s="804" t="s">
        <v>146</v>
      </c>
      <c r="D12" s="804" t="s">
        <v>118</v>
      </c>
      <c r="E12" s="827">
        <v>1</v>
      </c>
      <c r="F12" s="827">
        <v>6</v>
      </c>
      <c r="G12" s="827">
        <v>1</v>
      </c>
      <c r="H12" s="789">
        <f>8347.5*1.06*1.06/165.2*0.52*1.202*0</f>
        <v>0</v>
      </c>
      <c r="I12" s="828">
        <f t="shared" si="0"/>
        <v>0</v>
      </c>
      <c r="J12" s="829">
        <f t="shared" si="1"/>
        <v>0</v>
      </c>
    </row>
    <row r="13" spans="1:10" ht="38.25" customHeight="1">
      <c r="A13" s="42">
        <v>7</v>
      </c>
      <c r="B13" s="804" t="s">
        <v>456</v>
      </c>
      <c r="C13" s="804" t="s">
        <v>400</v>
      </c>
      <c r="D13" s="804" t="s">
        <v>118</v>
      </c>
      <c r="E13" s="827">
        <v>1</v>
      </c>
      <c r="F13" s="827">
        <f>'Исход дан'!D22</f>
        <v>0</v>
      </c>
      <c r="G13" s="827">
        <v>1</v>
      </c>
      <c r="H13" s="789">
        <f>8347.5*1.06*1.06/165.2*0.33*1.202</f>
        <v>22.520421922881358</v>
      </c>
      <c r="I13" s="828">
        <f t="shared" si="0"/>
        <v>0</v>
      </c>
      <c r="J13" s="829">
        <f t="shared" si="1"/>
        <v>0</v>
      </c>
    </row>
    <row r="14" spans="1:13" ht="42" customHeight="1">
      <c r="A14" s="42">
        <v>8</v>
      </c>
      <c r="B14" s="804" t="s">
        <v>457</v>
      </c>
      <c r="C14" s="804" t="s">
        <v>480</v>
      </c>
      <c r="D14" s="804" t="s">
        <v>123</v>
      </c>
      <c r="E14" s="827">
        <v>1</v>
      </c>
      <c r="F14" s="827">
        <f>'Исход дан'!D26</f>
        <v>108</v>
      </c>
      <c r="G14" s="827">
        <v>1</v>
      </c>
      <c r="H14" s="789">
        <f>8347.5*1.06*1.06/165.2*0.26*1.202</f>
        <v>17.743362727118647</v>
      </c>
      <c r="I14" s="828">
        <f t="shared" si="0"/>
        <v>1916.283174528814</v>
      </c>
      <c r="J14" s="829">
        <f t="shared" si="1"/>
        <v>0.1692351256295759</v>
      </c>
      <c r="K14" s="927" t="s">
        <v>704</v>
      </c>
      <c r="L14" s="928"/>
      <c r="M14" s="928"/>
    </row>
    <row r="15" spans="1:14" ht="34.5" customHeight="1">
      <c r="A15" s="42">
        <v>9</v>
      </c>
      <c r="B15" s="830" t="s">
        <v>458</v>
      </c>
      <c r="C15" s="830" t="s">
        <v>124</v>
      </c>
      <c r="D15" s="830" t="s">
        <v>125</v>
      </c>
      <c r="E15" s="831">
        <v>100</v>
      </c>
      <c r="F15" s="831">
        <f>'Исход дан'!D18</f>
        <v>4341</v>
      </c>
      <c r="G15" s="831">
        <v>1</v>
      </c>
      <c r="H15" s="832">
        <f>17430*1.06*1.06/165.2*0.87*1.202*0.8</f>
        <v>99.17741441898306</v>
      </c>
      <c r="I15" s="833">
        <f t="shared" si="0"/>
        <v>4305.291559928054</v>
      </c>
      <c r="J15" s="834">
        <f t="shared" si="1"/>
        <v>0.38021862723682825</v>
      </c>
      <c r="K15" t="s">
        <v>518</v>
      </c>
      <c r="L15" s="926" t="s">
        <v>735</v>
      </c>
      <c r="M15" s="926"/>
      <c r="N15" s="878">
        <f>7114/154.68121*1.0852</f>
        <v>49.90982938393099</v>
      </c>
    </row>
    <row r="16" spans="1:11" ht="46.5" customHeight="1">
      <c r="A16" s="42">
        <v>10</v>
      </c>
      <c r="B16" s="830" t="s">
        <v>459</v>
      </c>
      <c r="C16" s="830" t="s">
        <v>128</v>
      </c>
      <c r="D16" s="830" t="s">
        <v>129</v>
      </c>
      <c r="E16" s="831">
        <v>100</v>
      </c>
      <c r="F16" s="831">
        <f>'Исход дан'!D23</f>
        <v>604</v>
      </c>
      <c r="G16" s="831">
        <v>1</v>
      </c>
      <c r="H16" s="832">
        <f>17430*1.06*1.06/165.2*7.7*1.202*0.8</f>
        <v>877.777116122034</v>
      </c>
      <c r="I16" s="833">
        <f t="shared" si="0"/>
        <v>5301.7737813770855</v>
      </c>
      <c r="J16" s="834">
        <f t="shared" si="1"/>
        <v>0.4682222146899362</v>
      </c>
      <c r="K16" t="s">
        <v>517</v>
      </c>
    </row>
    <row r="17" spans="1:14" ht="61.5" customHeight="1">
      <c r="A17" s="42">
        <v>11</v>
      </c>
      <c r="B17" s="34" t="s">
        <v>460</v>
      </c>
      <c r="C17" s="34" t="s">
        <v>122</v>
      </c>
      <c r="D17" s="34" t="s">
        <v>121</v>
      </c>
      <c r="E17" s="221">
        <v>1</v>
      </c>
      <c r="F17" s="221">
        <f>'Исход дан'!D25</f>
        <v>2</v>
      </c>
      <c r="G17" s="221">
        <v>1</v>
      </c>
      <c r="H17" s="447">
        <f>17430*1.06*1.06/165.2*4.1*1.202</f>
        <v>584.2347688474576</v>
      </c>
      <c r="I17" s="235">
        <f t="shared" si="0"/>
        <v>1168.4695376949153</v>
      </c>
      <c r="J17" s="687">
        <f t="shared" si="1"/>
        <v>0.10319251957882182</v>
      </c>
      <c r="K17" s="794" t="s">
        <v>519</v>
      </c>
      <c r="L17" s="929" t="s">
        <v>705</v>
      </c>
      <c r="M17" s="929"/>
      <c r="N17" s="879" t="s">
        <v>736</v>
      </c>
    </row>
    <row r="18" spans="1:14" ht="56.25" customHeight="1">
      <c r="A18" s="42">
        <v>12</v>
      </c>
      <c r="B18" s="34" t="s">
        <v>461</v>
      </c>
      <c r="C18" s="34" t="s">
        <v>114</v>
      </c>
      <c r="D18" s="34" t="s">
        <v>115</v>
      </c>
      <c r="E18" s="221">
        <v>1</v>
      </c>
      <c r="F18" s="221">
        <f>'Исход дан'!D24</f>
        <v>2</v>
      </c>
      <c r="G18" s="221">
        <v>2</v>
      </c>
      <c r="H18" s="447">
        <f>9082.5*1.06*1.06/165.2*0.58*1.202*3</f>
        <v>129.19949318135596</v>
      </c>
      <c r="I18" s="235">
        <f t="shared" si="0"/>
        <v>516.7979727254238</v>
      </c>
      <c r="J18" s="687">
        <f t="shared" si="1"/>
        <v>0.04564062921483537</v>
      </c>
      <c r="K18" s="794" t="s">
        <v>520</v>
      </c>
      <c r="L18" s="926" t="s">
        <v>706</v>
      </c>
      <c r="M18" s="926"/>
      <c r="N18" s="820" t="s">
        <v>737</v>
      </c>
    </row>
    <row r="19" spans="1:10" ht="29.25" customHeight="1">
      <c r="A19" s="42">
        <v>13</v>
      </c>
      <c r="B19" s="34" t="s">
        <v>462</v>
      </c>
      <c r="C19" s="34" t="s">
        <v>119</v>
      </c>
      <c r="D19" s="34" t="s">
        <v>120</v>
      </c>
      <c r="E19" s="221">
        <v>1</v>
      </c>
      <c r="F19" s="221">
        <f>'Исход дан'!D27</f>
        <v>0</v>
      </c>
      <c r="G19" s="221">
        <v>1</v>
      </c>
      <c r="H19" s="447">
        <f>9082.5*1.06*1.06/165.2*3.24*1.202</f>
        <v>240.57836661355938</v>
      </c>
      <c r="I19" s="235">
        <f t="shared" si="0"/>
        <v>0</v>
      </c>
      <c r="J19" s="687">
        <f t="shared" si="1"/>
        <v>0</v>
      </c>
    </row>
    <row r="20" spans="1:13" ht="30.75" customHeight="1">
      <c r="A20" s="42">
        <v>14</v>
      </c>
      <c r="B20" s="34" t="s">
        <v>462</v>
      </c>
      <c r="C20" s="34" t="s">
        <v>147</v>
      </c>
      <c r="D20" s="34" t="s">
        <v>120</v>
      </c>
      <c r="E20" s="221">
        <v>1</v>
      </c>
      <c r="F20" s="221">
        <f>'Исход дан'!D28</f>
        <v>1</v>
      </c>
      <c r="G20" s="221">
        <v>1</v>
      </c>
      <c r="H20" s="447">
        <f>9082.5*1.06*1.06/165.2*3.24*1.202*2</f>
        <v>481.15673322711876</v>
      </c>
      <c r="I20" s="235">
        <f t="shared" si="0"/>
        <v>481.15673322711876</v>
      </c>
      <c r="J20" s="687">
        <f t="shared" si="1"/>
        <v>0.042492999613812234</v>
      </c>
      <c r="L20" s="930" t="s">
        <v>744</v>
      </c>
      <c r="M20" s="930"/>
    </row>
    <row r="21" spans="1:10" ht="12.75">
      <c r="A21" s="42">
        <v>15</v>
      </c>
      <c r="B21" s="34"/>
      <c r="C21" s="822"/>
      <c r="D21" s="34"/>
      <c r="E21" s="221"/>
      <c r="F21" s="221"/>
      <c r="G21" s="221"/>
      <c r="H21" s="221"/>
      <c r="I21" s="235"/>
      <c r="J21" s="687"/>
    </row>
    <row r="22" spans="1:10" ht="12.75">
      <c r="A22" s="42">
        <v>16</v>
      </c>
      <c r="B22" s="34"/>
      <c r="C22" s="34" t="s">
        <v>515</v>
      </c>
      <c r="D22" s="34"/>
      <c r="E22" s="34"/>
      <c r="F22" s="34"/>
      <c r="G22" s="34"/>
      <c r="H22" s="34"/>
      <c r="I22" s="235"/>
      <c r="J22" s="519"/>
    </row>
    <row r="23" spans="1:10" ht="12.75">
      <c r="A23" s="42">
        <v>17</v>
      </c>
      <c r="B23" s="34"/>
      <c r="C23" s="34"/>
      <c r="D23" s="34"/>
      <c r="E23" s="34"/>
      <c r="F23" s="34"/>
      <c r="G23" s="34"/>
      <c r="H23" s="34"/>
      <c r="I23" s="235"/>
      <c r="J23" s="519"/>
    </row>
    <row r="24" spans="1:11" ht="26.25" customHeight="1">
      <c r="A24" s="746">
        <v>18</v>
      </c>
      <c r="B24" s="747" t="s">
        <v>469</v>
      </c>
      <c r="C24" s="747"/>
      <c r="D24" s="747"/>
      <c r="E24" s="747"/>
      <c r="F24" s="747"/>
      <c r="G24" s="747"/>
      <c r="H24" s="747"/>
      <c r="I24" s="748">
        <f>I7+I8+I9+I10+I12+I13+I14+I15+I16+I17+I18+I19+I20</f>
        <v>15649.92504635514</v>
      </c>
      <c r="J24" s="749">
        <f>I24/J6/12</f>
        <v>1.3821115096752807</v>
      </c>
      <c r="K24" t="s">
        <v>522</v>
      </c>
    </row>
    <row r="25" spans="1:10" ht="12.75">
      <c r="A25" s="520"/>
      <c r="B25" s="521"/>
      <c r="C25" s="522"/>
      <c r="D25" s="522"/>
      <c r="E25" s="522"/>
      <c r="F25" s="522"/>
      <c r="G25" s="522"/>
      <c r="H25" s="523"/>
      <c r="I25" s="524"/>
      <c r="J25" s="519"/>
    </row>
    <row r="26" spans="1:10" ht="18" customHeight="1">
      <c r="A26" s="42"/>
      <c r="B26" s="525"/>
      <c r="C26" s="555" t="s">
        <v>449</v>
      </c>
      <c r="D26" s="34"/>
      <c r="E26" s="34"/>
      <c r="F26" s="34"/>
      <c r="G26" s="34"/>
      <c r="H26" s="34"/>
      <c r="I26" s="235"/>
      <c r="J26" s="519"/>
    </row>
    <row r="27" spans="1:10" ht="22.5" customHeight="1">
      <c r="A27" s="42"/>
      <c r="B27" s="525"/>
      <c r="C27" s="34" t="s">
        <v>130</v>
      </c>
      <c r="D27" s="34"/>
      <c r="E27" s="34"/>
      <c r="F27" s="34"/>
      <c r="G27" s="34"/>
      <c r="H27" s="34"/>
      <c r="I27" s="235"/>
      <c r="J27" s="519"/>
    </row>
    <row r="28" spans="1:10" ht="53.25" customHeight="1">
      <c r="A28" s="42">
        <v>1</v>
      </c>
      <c r="B28" s="34" t="s">
        <v>463</v>
      </c>
      <c r="C28" s="34" t="s">
        <v>249</v>
      </c>
      <c r="D28" s="34" t="s">
        <v>132</v>
      </c>
      <c r="E28" s="221">
        <v>1000</v>
      </c>
      <c r="F28" s="750">
        <f>'Исход дан'!D11</f>
        <v>943.6</v>
      </c>
      <c r="G28" s="221">
        <v>1</v>
      </c>
      <c r="H28" s="447">
        <v>0</v>
      </c>
      <c r="I28" s="235">
        <f aca="true" t="shared" si="2" ref="I28:I37">F28/E28*G28*H28</f>
        <v>0</v>
      </c>
      <c r="J28" s="687">
        <f>I28/J$6/12</f>
        <v>0</v>
      </c>
    </row>
    <row r="29" spans="1:11" ht="66" customHeight="1">
      <c r="A29" s="42">
        <v>2</v>
      </c>
      <c r="B29" s="34" t="s">
        <v>464</v>
      </c>
      <c r="C29" s="804" t="s">
        <v>317</v>
      </c>
      <c r="D29" s="34" t="s">
        <v>131</v>
      </c>
      <c r="E29" s="221">
        <v>1000</v>
      </c>
      <c r="F29" s="221">
        <f>'Исход дан'!D17</f>
        <v>8</v>
      </c>
      <c r="G29" s="221">
        <v>7</v>
      </c>
      <c r="H29" s="447">
        <f>9082.5*1.06*1.06/165.2*4*1.202*1.1</f>
        <v>326.71136206779664</v>
      </c>
      <c r="I29" s="235">
        <f>F29/E29*G29*H29</f>
        <v>18.295836275796614</v>
      </c>
      <c r="J29" s="687">
        <f aca="true" t="shared" si="3" ref="J29:J38">I29/J$6/12</f>
        <v>0.0016157831951918728</v>
      </c>
      <c r="K29" s="794" t="s">
        <v>521</v>
      </c>
    </row>
    <row r="30" spans="1:10" ht="67.5" customHeight="1">
      <c r="A30" s="42">
        <v>2</v>
      </c>
      <c r="B30" s="34" t="s">
        <v>464</v>
      </c>
      <c r="C30" s="804" t="s">
        <v>318</v>
      </c>
      <c r="D30" s="34" t="s">
        <v>131</v>
      </c>
      <c r="E30" s="221">
        <v>1000</v>
      </c>
      <c r="F30" s="221">
        <f>'Исход дан'!D17</f>
        <v>8</v>
      </c>
      <c r="G30" s="221">
        <v>0</v>
      </c>
      <c r="H30" s="447">
        <f>9082.5*1.06*1.06/165.2*4*1.202</f>
        <v>297.0103291525424</v>
      </c>
      <c r="I30" s="235">
        <f t="shared" si="2"/>
        <v>0</v>
      </c>
      <c r="J30" s="687">
        <f t="shared" si="3"/>
        <v>0</v>
      </c>
    </row>
    <row r="31" spans="1:10" ht="54" customHeight="1">
      <c r="A31" s="42">
        <v>3</v>
      </c>
      <c r="B31" s="34" t="s">
        <v>465</v>
      </c>
      <c r="C31" s="804" t="s">
        <v>446</v>
      </c>
      <c r="D31" s="34" t="s">
        <v>168</v>
      </c>
      <c r="E31" s="221">
        <v>1</v>
      </c>
      <c r="F31" s="221">
        <f>'Исход дан'!D5</f>
        <v>21</v>
      </c>
      <c r="G31" s="221">
        <v>1</v>
      </c>
      <c r="H31" s="447">
        <v>0</v>
      </c>
      <c r="I31" s="235">
        <f t="shared" si="2"/>
        <v>0</v>
      </c>
      <c r="J31" s="687">
        <f t="shared" si="3"/>
        <v>0</v>
      </c>
    </row>
    <row r="32" spans="1:11" ht="57" customHeight="1">
      <c r="A32" s="42">
        <v>4</v>
      </c>
      <c r="B32" s="34" t="s">
        <v>466</v>
      </c>
      <c r="C32" s="804" t="s">
        <v>319</v>
      </c>
      <c r="D32" s="34" t="s">
        <v>131</v>
      </c>
      <c r="E32" s="751">
        <v>1000</v>
      </c>
      <c r="F32" s="221">
        <f>'Исход дан'!D17</f>
        <v>8</v>
      </c>
      <c r="G32" s="221">
        <v>12</v>
      </c>
      <c r="H32" s="447">
        <f>9082.5*1.06*1.06/165.2*4*1.202</f>
        <v>297.0103291525424</v>
      </c>
      <c r="I32" s="235">
        <f t="shared" si="2"/>
        <v>28.51299159864407</v>
      </c>
      <c r="J32" s="687">
        <f t="shared" si="3"/>
        <v>0.0025181036808185025</v>
      </c>
      <c r="K32" s="794" t="s">
        <v>521</v>
      </c>
    </row>
    <row r="33" spans="1:10" ht="40.5" customHeight="1">
      <c r="A33" s="42">
        <v>5</v>
      </c>
      <c r="B33" s="34" t="s">
        <v>466</v>
      </c>
      <c r="C33" s="34" t="s">
        <v>312</v>
      </c>
      <c r="D33" s="34" t="s">
        <v>131</v>
      </c>
      <c r="E33" s="751">
        <v>1000</v>
      </c>
      <c r="F33" s="221">
        <f>'Исход дан'!D15</f>
        <v>0</v>
      </c>
      <c r="G33" s="221">
        <v>12</v>
      </c>
      <c r="H33" s="221">
        <v>0</v>
      </c>
      <c r="I33" s="235">
        <f t="shared" si="2"/>
        <v>0</v>
      </c>
      <c r="J33" s="687">
        <f t="shared" si="3"/>
        <v>0</v>
      </c>
    </row>
    <row r="34" spans="1:10" ht="69" customHeight="1">
      <c r="A34" s="42">
        <v>6</v>
      </c>
      <c r="B34" s="34" t="s">
        <v>467</v>
      </c>
      <c r="C34" s="34" t="s">
        <v>133</v>
      </c>
      <c r="D34" s="34" t="s">
        <v>134</v>
      </c>
      <c r="E34" s="221">
        <v>100</v>
      </c>
      <c r="F34" s="221">
        <f>'Исход дан'!D33*'Исход дан'!D34</f>
        <v>6</v>
      </c>
      <c r="G34" s="221">
        <v>4</v>
      </c>
      <c r="H34" s="447">
        <f>9082.5*1.06*1.06/165.2*9*1.202</f>
        <v>668.2732405932204</v>
      </c>
      <c r="I34" s="235">
        <f t="shared" si="2"/>
        <v>160.3855777423729</v>
      </c>
      <c r="J34" s="687">
        <f t="shared" si="3"/>
        <v>0.014164333204604078</v>
      </c>
    </row>
    <row r="35" spans="1:10" ht="66" customHeight="1">
      <c r="A35" s="42">
        <v>7</v>
      </c>
      <c r="B35" s="34" t="s">
        <v>468</v>
      </c>
      <c r="C35" s="34" t="s">
        <v>135</v>
      </c>
      <c r="D35" s="34" t="s">
        <v>514</v>
      </c>
      <c r="E35" s="221">
        <v>1</v>
      </c>
      <c r="F35" s="221">
        <f>'Исход дан'!D28</f>
        <v>1</v>
      </c>
      <c r="G35" s="221">
        <v>12</v>
      </c>
      <c r="H35" s="789"/>
      <c r="I35" s="235">
        <f t="shared" si="2"/>
        <v>0</v>
      </c>
      <c r="J35" s="687">
        <f t="shared" si="3"/>
        <v>0</v>
      </c>
    </row>
    <row r="36" spans="1:10" ht="66.75" customHeight="1">
      <c r="A36" s="42">
        <v>8</v>
      </c>
      <c r="B36" s="34" t="s">
        <v>500</v>
      </c>
      <c r="C36" s="34" t="s">
        <v>381</v>
      </c>
      <c r="D36" s="34" t="s">
        <v>137</v>
      </c>
      <c r="E36" s="221">
        <v>1000</v>
      </c>
      <c r="F36" s="750">
        <f>'Исход дан'!D12</f>
        <v>943.6</v>
      </c>
      <c r="G36" s="221">
        <v>4</v>
      </c>
      <c r="H36" s="221">
        <v>0</v>
      </c>
      <c r="I36" s="235">
        <f t="shared" si="2"/>
        <v>0</v>
      </c>
      <c r="J36" s="687">
        <f t="shared" si="3"/>
        <v>0</v>
      </c>
    </row>
    <row r="37" spans="1:10" ht="66" customHeight="1">
      <c r="A37" s="42">
        <v>9</v>
      </c>
      <c r="B37" s="34" t="s">
        <v>500</v>
      </c>
      <c r="C37" s="34" t="s">
        <v>136</v>
      </c>
      <c r="D37" s="34" t="s">
        <v>137</v>
      </c>
      <c r="E37" s="221">
        <v>1000</v>
      </c>
      <c r="F37" s="221">
        <f>'Исход дан'!D17</f>
        <v>8</v>
      </c>
      <c r="G37" s="221">
        <v>4</v>
      </c>
      <c r="H37" s="447">
        <f>9082.5*1.06*1.06/165.2*8*1.202</f>
        <v>594.0206583050848</v>
      </c>
      <c r="I37" s="235">
        <f t="shared" si="2"/>
        <v>19.008661065762713</v>
      </c>
      <c r="J37" s="687">
        <f t="shared" si="3"/>
        <v>0.001678735787212335</v>
      </c>
    </row>
    <row r="38" spans="1:10" ht="28.5" customHeight="1">
      <c r="A38" s="746">
        <v>10</v>
      </c>
      <c r="B38" s="747" t="s">
        <v>138</v>
      </c>
      <c r="C38" s="747"/>
      <c r="D38" s="747"/>
      <c r="E38" s="747"/>
      <c r="F38" s="747"/>
      <c r="G38" s="747"/>
      <c r="H38" s="747"/>
      <c r="I38" s="748">
        <f>SUM(I28:I37)</f>
        <v>226.2030666825763</v>
      </c>
      <c r="J38" s="749">
        <f t="shared" si="3"/>
        <v>0.019976955867826787</v>
      </c>
    </row>
    <row r="39" spans="1:10" ht="12.75">
      <c r="A39" s="520"/>
      <c r="B39" s="521"/>
      <c r="C39" s="521"/>
      <c r="D39" s="521"/>
      <c r="E39" s="521"/>
      <c r="F39" s="521"/>
      <c r="G39" s="521"/>
      <c r="H39" s="521"/>
      <c r="I39" s="526"/>
      <c r="J39" s="519"/>
    </row>
    <row r="40" spans="1:13" ht="12.75">
      <c r="A40" s="16"/>
      <c r="B40" s="9" t="s">
        <v>139</v>
      </c>
      <c r="C40" s="9"/>
      <c r="D40" s="9"/>
      <c r="E40" s="9"/>
      <c r="F40" s="9"/>
      <c r="G40" s="9"/>
      <c r="H40" s="9"/>
      <c r="I40" s="111">
        <f>I24+I38</f>
        <v>15876.128113037716</v>
      </c>
      <c r="J40" s="341">
        <f>I40/J6/12</f>
        <v>1.4020884655431074</v>
      </c>
      <c r="K40" s="924"/>
      <c r="L40" s="925"/>
      <c r="M40" s="925"/>
    </row>
    <row r="41" spans="1:13" ht="108" thickBot="1">
      <c r="A41" s="527"/>
      <c r="B41" s="522"/>
      <c r="C41" s="822" t="s">
        <v>699</v>
      </c>
      <c r="D41" s="522"/>
      <c r="E41" s="522"/>
      <c r="F41" s="522"/>
      <c r="G41" s="522"/>
      <c r="H41" s="522"/>
      <c r="I41" s="823">
        <v>12439.87</v>
      </c>
      <c r="J41" s="841">
        <f>I41/12/1.44019/1000</f>
        <v>0.719804910000301</v>
      </c>
      <c r="K41" s="883"/>
      <c r="L41" s="883"/>
      <c r="M41" s="883"/>
    </row>
    <row r="42" spans="1:13" ht="19.5">
      <c r="A42" s="136"/>
      <c r="B42" s="34"/>
      <c r="C42" s="888" t="s">
        <v>710</v>
      </c>
      <c r="D42" s="34"/>
      <c r="E42" s="34"/>
      <c r="F42" s="34"/>
      <c r="G42" s="34"/>
      <c r="H42" s="34"/>
      <c r="I42" s="889">
        <v>10500.26</v>
      </c>
      <c r="J42" s="441"/>
      <c r="K42" s="883"/>
      <c r="L42" s="883"/>
      <c r="M42" s="883"/>
    </row>
    <row r="43" spans="1:13" ht="12.75">
      <c r="A43" s="136"/>
      <c r="B43" s="34"/>
      <c r="C43" s="822" t="s">
        <v>712</v>
      </c>
      <c r="D43" s="34"/>
      <c r="E43" s="34"/>
      <c r="F43" s="34"/>
      <c r="G43" s="34"/>
      <c r="H43" s="34"/>
      <c r="I43" s="824">
        <v>1582.2</v>
      </c>
      <c r="J43" s="441"/>
      <c r="K43" s="883"/>
      <c r="L43" s="883"/>
      <c r="M43" s="883"/>
    </row>
    <row r="44" spans="1:13" ht="12.75">
      <c r="A44" s="136"/>
      <c r="B44" s="136"/>
      <c r="C44" s="839" t="s">
        <v>713</v>
      </c>
      <c r="D44" s="136"/>
      <c r="E44" s="136"/>
      <c r="F44" s="136"/>
      <c r="G44" s="136"/>
      <c r="H44" s="136"/>
      <c r="I44" s="840">
        <v>1091.7</v>
      </c>
      <c r="J44" s="841"/>
      <c r="K44" s="883"/>
      <c r="L44" s="883"/>
      <c r="M44" s="883"/>
    </row>
    <row r="45" spans="1:13" ht="12.75">
      <c r="A45" s="136"/>
      <c r="B45" s="136"/>
      <c r="C45" s="839" t="s">
        <v>714</v>
      </c>
      <c r="D45" s="136"/>
      <c r="E45" s="136"/>
      <c r="F45" s="136"/>
      <c r="G45" s="136"/>
      <c r="H45" s="136"/>
      <c r="I45" s="840">
        <v>3399.96</v>
      </c>
      <c r="J45" s="841"/>
      <c r="K45" s="883"/>
      <c r="L45" s="883"/>
      <c r="M45" s="883"/>
    </row>
    <row r="46" spans="1:13" ht="12.75">
      <c r="A46" s="136"/>
      <c r="B46" s="136"/>
      <c r="C46" s="839" t="s">
        <v>715</v>
      </c>
      <c r="D46" s="136"/>
      <c r="E46" s="136"/>
      <c r="F46" s="136"/>
      <c r="G46" s="136"/>
      <c r="H46" s="136"/>
      <c r="I46" s="840">
        <v>4221.4</v>
      </c>
      <c r="J46" s="841"/>
      <c r="K46" s="883"/>
      <c r="L46" s="883"/>
      <c r="M46" s="883"/>
    </row>
    <row r="47" spans="1:15" ht="12.75">
      <c r="A47" s="136"/>
      <c r="B47" s="136"/>
      <c r="C47" s="839" t="s">
        <v>739</v>
      </c>
      <c r="D47" s="136"/>
      <c r="E47" s="136"/>
      <c r="F47" s="136"/>
      <c r="G47" s="136"/>
      <c r="H47" s="136"/>
      <c r="I47" s="840">
        <f>15112.17-2229.85</f>
        <v>12882.32</v>
      </c>
      <c r="J47" s="841"/>
      <c r="K47" s="931" t="s">
        <v>742</v>
      </c>
      <c r="L47" s="932"/>
      <c r="M47" s="932"/>
      <c r="N47" s="932"/>
      <c r="O47" s="932"/>
    </row>
    <row r="48" spans="1:13" ht="12.75">
      <c r="A48" s="136"/>
      <c r="B48" s="136"/>
      <c r="C48" s="839" t="s">
        <v>743</v>
      </c>
      <c r="D48" s="136"/>
      <c r="E48" s="136"/>
      <c r="F48" s="136"/>
      <c r="G48" s="136"/>
      <c r="H48" s="136"/>
      <c r="I48" s="840">
        <v>648.11</v>
      </c>
      <c r="J48" s="841"/>
      <c r="K48" s="883"/>
      <c r="L48" s="883"/>
      <c r="M48" s="883"/>
    </row>
    <row r="49" spans="1:15" ht="12.75">
      <c r="A49" s="136"/>
      <c r="B49" s="136"/>
      <c r="C49" s="839" t="s">
        <v>751</v>
      </c>
      <c r="D49" s="136"/>
      <c r="E49" s="136"/>
      <c r="F49" s="136"/>
      <c r="G49" s="136"/>
      <c r="H49" s="136"/>
      <c r="I49" s="840">
        <f>I44+I46+I48</f>
        <v>5961.209999999999</v>
      </c>
      <c r="J49" s="841"/>
      <c r="K49" s="933" t="s">
        <v>745</v>
      </c>
      <c r="L49" s="934"/>
      <c r="M49" s="934"/>
      <c r="N49" s="934"/>
      <c r="O49" s="934"/>
    </row>
    <row r="50" spans="1:15" ht="12.75">
      <c r="A50" s="136"/>
      <c r="B50" s="136"/>
      <c r="C50" s="839" t="s">
        <v>752</v>
      </c>
      <c r="D50" s="136"/>
      <c r="E50" s="136"/>
      <c r="F50" s="136"/>
      <c r="G50" s="136"/>
      <c r="H50" s="136"/>
      <c r="I50" s="840">
        <f>I43+I45+I47</f>
        <v>17864.48</v>
      </c>
      <c r="J50" s="841"/>
      <c r="K50" s="933" t="s">
        <v>746</v>
      </c>
      <c r="L50" s="934"/>
      <c r="M50" s="934"/>
      <c r="N50" s="934"/>
      <c r="O50" s="934"/>
    </row>
    <row r="51" spans="1:15" ht="12.75">
      <c r="A51" s="136"/>
      <c r="B51" s="136"/>
      <c r="C51" s="839" t="s">
        <v>755</v>
      </c>
      <c r="D51" s="136"/>
      <c r="E51" s="136"/>
      <c r="F51" s="136"/>
      <c r="G51" s="136"/>
      <c r="H51" s="136"/>
      <c r="I51" s="840">
        <f>I49+I50</f>
        <v>23825.69</v>
      </c>
      <c r="J51" s="841"/>
      <c r="K51" s="885"/>
      <c r="L51" s="886"/>
      <c r="M51" s="886"/>
      <c r="N51" s="886"/>
      <c r="O51" s="886"/>
    </row>
    <row r="52" spans="1:15" ht="12.75">
      <c r="A52" s="136"/>
      <c r="B52" s="136"/>
      <c r="C52" s="839" t="s">
        <v>754</v>
      </c>
      <c r="D52" s="136"/>
      <c r="E52" s="136"/>
      <c r="F52" s="136"/>
      <c r="G52" s="136"/>
      <c r="H52" s="136"/>
      <c r="I52" s="840">
        <v>205</v>
      </c>
      <c r="J52" s="841"/>
      <c r="K52" s="885"/>
      <c r="L52" s="886"/>
      <c r="M52" s="886"/>
      <c r="N52" s="886"/>
      <c r="O52" s="886"/>
    </row>
    <row r="53" spans="1:15" ht="12.75">
      <c r="A53" s="136"/>
      <c r="B53" s="136"/>
      <c r="C53" s="839" t="s">
        <v>753</v>
      </c>
      <c r="D53" s="136"/>
      <c r="E53" s="136"/>
      <c r="F53" s="136"/>
      <c r="G53" s="136"/>
      <c r="H53" s="136"/>
      <c r="I53" s="840">
        <f>I51+I52</f>
        <v>24030.69</v>
      </c>
      <c r="J53" s="841"/>
      <c r="K53" s="936" t="s">
        <v>756</v>
      </c>
      <c r="L53" s="937"/>
      <c r="M53" s="937"/>
      <c r="N53" s="937"/>
      <c r="O53" s="937"/>
    </row>
    <row r="54" spans="1:15" ht="12.75">
      <c r="A54" s="528">
        <v>1</v>
      </c>
      <c r="B54" s="528">
        <v>2</v>
      </c>
      <c r="C54" s="528">
        <v>3</v>
      </c>
      <c r="D54" s="528">
        <v>4</v>
      </c>
      <c r="E54" s="528">
        <v>5</v>
      </c>
      <c r="F54" s="528">
        <v>6</v>
      </c>
      <c r="G54" s="528">
        <v>7</v>
      </c>
      <c r="H54" s="528">
        <v>8</v>
      </c>
      <c r="I54" s="528">
        <v>9</v>
      </c>
      <c r="J54" s="528">
        <v>10</v>
      </c>
      <c r="K54" s="933" t="s">
        <v>747</v>
      </c>
      <c r="L54" s="934"/>
      <c r="M54" s="934"/>
      <c r="N54" s="934"/>
      <c r="O54" s="934"/>
    </row>
    <row r="55" spans="1:15" ht="25.5" customHeight="1">
      <c r="A55" s="923" t="s">
        <v>499</v>
      </c>
      <c r="B55" s="923"/>
      <c r="C55" s="923"/>
      <c r="D55" s="923"/>
      <c r="E55" s="923"/>
      <c r="F55" s="923"/>
      <c r="G55" s="923"/>
      <c r="H55" s="923"/>
      <c r="I55" s="923"/>
      <c r="J55" s="923"/>
      <c r="K55" s="938" t="s">
        <v>748</v>
      </c>
      <c r="L55" s="938"/>
      <c r="M55" s="938"/>
      <c r="N55" s="938"/>
      <c r="O55" s="938"/>
    </row>
    <row r="56" spans="1:11" ht="25.5">
      <c r="A56" t="s">
        <v>524</v>
      </c>
      <c r="B56" s="809"/>
      <c r="C56" s="882" t="s">
        <v>707</v>
      </c>
      <c r="D56" s="809" t="s">
        <v>56</v>
      </c>
      <c r="E56" s="809"/>
      <c r="F56" s="809"/>
      <c r="G56" s="809"/>
      <c r="H56" s="809"/>
      <c r="I56" s="887">
        <f>648.11</f>
        <v>648.11</v>
      </c>
      <c r="J56" s="819">
        <f>I56/1440.19/12</f>
        <v>0.03750141763702474</v>
      </c>
      <c r="K56" s="794"/>
    </row>
    <row r="57" spans="1:10" ht="12.75">
      <c r="A57" t="s">
        <v>523</v>
      </c>
      <c r="B57" s="809"/>
      <c r="C57" s="836" t="s">
        <v>525</v>
      </c>
      <c r="D57" s="809" t="s">
        <v>56</v>
      </c>
      <c r="E57" s="809"/>
      <c r="F57" s="809"/>
      <c r="G57" s="809"/>
      <c r="H57" s="809"/>
      <c r="I57" s="809"/>
      <c r="J57" s="809"/>
    </row>
    <row r="58" spans="2:12" ht="63.75">
      <c r="B58" s="809" t="s">
        <v>536</v>
      </c>
      <c r="C58" s="812" t="s">
        <v>531</v>
      </c>
      <c r="D58" s="809" t="s">
        <v>526</v>
      </c>
      <c r="E58" s="809"/>
      <c r="F58" s="809">
        <v>2</v>
      </c>
      <c r="G58" s="809"/>
      <c r="H58" s="809">
        <v>1.4</v>
      </c>
      <c r="I58" s="816">
        <f>17199.5/165.2*1.4*1.342*2</f>
        <v>391.2157457627119</v>
      </c>
      <c r="J58" s="816">
        <f aca="true" t="shared" si="4" ref="J58:J65">I58/1440.19/12</f>
        <v>0.022636813300253893</v>
      </c>
      <c r="K58" s="794" t="s">
        <v>533</v>
      </c>
      <c r="L58">
        <v>4.5</v>
      </c>
    </row>
    <row r="59" spans="2:12" ht="38.25">
      <c r="B59" s="809" t="s">
        <v>537</v>
      </c>
      <c r="C59" s="812" t="s">
        <v>546</v>
      </c>
      <c r="D59" s="809" t="s">
        <v>528</v>
      </c>
      <c r="E59" s="809"/>
      <c r="F59" s="809">
        <v>2</v>
      </c>
      <c r="G59" s="809"/>
      <c r="H59" s="809">
        <v>2.8</v>
      </c>
      <c r="I59" s="816">
        <f>16085.1/165.2*2.8*1.342*2</f>
        <v>731.7357355932204</v>
      </c>
      <c r="J59" s="816">
        <f t="shared" si="4"/>
        <v>0.04234023147369562</v>
      </c>
      <c r="K59" s="794" t="s">
        <v>532</v>
      </c>
      <c r="L59">
        <v>3.4</v>
      </c>
    </row>
    <row r="60" spans="2:12" ht="12.75">
      <c r="B60" s="809" t="s">
        <v>538</v>
      </c>
      <c r="C60" s="812" t="s">
        <v>529</v>
      </c>
      <c r="D60" s="809" t="s">
        <v>530</v>
      </c>
      <c r="E60" s="809"/>
      <c r="F60" s="809">
        <v>20</v>
      </c>
      <c r="G60" s="809"/>
      <c r="H60" s="809">
        <v>0.52</v>
      </c>
      <c r="I60" s="816">
        <f>8381.7/165.2*0.52*1.342*20</f>
        <v>708.1217346246976</v>
      </c>
      <c r="J60" s="816">
        <f t="shared" si="4"/>
        <v>0.04097386077674344</v>
      </c>
      <c r="K60">
        <v>8381.7</v>
      </c>
      <c r="L60">
        <v>4</v>
      </c>
    </row>
    <row r="61" spans="2:12" ht="38.25">
      <c r="B61" s="809" t="s">
        <v>539</v>
      </c>
      <c r="C61" s="812" t="s">
        <v>534</v>
      </c>
      <c r="D61" s="809" t="s">
        <v>535</v>
      </c>
      <c r="E61" s="809"/>
      <c r="F61" s="809">
        <f>0.21*37</f>
        <v>7.77</v>
      </c>
      <c r="G61" s="809"/>
      <c r="H61" s="809">
        <v>0.49</v>
      </c>
      <c r="I61" s="816">
        <f>H61*8381.7/165.2*1.342*7.77</f>
        <v>259.23383463813565</v>
      </c>
      <c r="J61" s="816">
        <f t="shared" si="4"/>
        <v>0.014999978859163007</v>
      </c>
      <c r="K61">
        <v>8381.7</v>
      </c>
      <c r="L61">
        <v>4</v>
      </c>
    </row>
    <row r="62" spans="2:12" ht="38.25">
      <c r="B62" s="809" t="s">
        <v>541</v>
      </c>
      <c r="C62" s="812" t="s">
        <v>540</v>
      </c>
      <c r="D62" s="809" t="s">
        <v>165</v>
      </c>
      <c r="E62" s="809"/>
      <c r="F62" s="809">
        <v>7.77</v>
      </c>
      <c r="G62" s="809"/>
      <c r="H62" s="809">
        <v>1.29</v>
      </c>
      <c r="I62" s="816">
        <f>8381.7/165.2*1.29*1.342*7.77</f>
        <v>682.472748333051</v>
      </c>
      <c r="J62" s="816">
        <f t="shared" si="4"/>
        <v>0.03948974026187812</v>
      </c>
      <c r="K62">
        <v>8381.7</v>
      </c>
      <c r="L62">
        <v>3.2</v>
      </c>
    </row>
    <row r="63" spans="2:12" ht="76.5">
      <c r="B63" s="809" t="s">
        <v>547</v>
      </c>
      <c r="C63" s="812" t="s">
        <v>548</v>
      </c>
      <c r="D63" s="809" t="s">
        <v>544</v>
      </c>
      <c r="E63" s="809"/>
      <c r="F63" s="809">
        <v>3</v>
      </c>
      <c r="G63" s="809"/>
      <c r="H63" s="809">
        <v>1</v>
      </c>
      <c r="I63" s="816">
        <f>16521.2/165.2*1*3*1.342</f>
        <v>402.6292445520582</v>
      </c>
      <c r="J63" s="816">
        <f t="shared" si="4"/>
        <v>0.023297229564158098</v>
      </c>
      <c r="K63" s="794" t="s">
        <v>545</v>
      </c>
      <c r="L63">
        <v>5.3</v>
      </c>
    </row>
    <row r="64" spans="2:11" ht="12.75">
      <c r="B64" s="809" t="s">
        <v>542</v>
      </c>
      <c r="C64" s="812" t="s">
        <v>543</v>
      </c>
      <c r="D64" s="809" t="s">
        <v>544</v>
      </c>
      <c r="E64" s="809"/>
      <c r="F64" s="809">
        <v>3</v>
      </c>
      <c r="G64" s="809"/>
      <c r="H64" s="809">
        <v>1.3</v>
      </c>
      <c r="I64" s="816">
        <f>16521.2/165.2*1.3*3*1.342</f>
        <v>523.4180179176756</v>
      </c>
      <c r="J64" s="816">
        <f t="shared" si="4"/>
        <v>0.030286398433405522</v>
      </c>
      <c r="K64">
        <v>16521.2</v>
      </c>
    </row>
    <row r="65" spans="2:11" ht="63.75">
      <c r="B65" s="797" t="s">
        <v>551</v>
      </c>
      <c r="C65" s="812" t="s">
        <v>555</v>
      </c>
      <c r="D65" s="809" t="s">
        <v>550</v>
      </c>
      <c r="E65" s="809"/>
      <c r="F65" s="809">
        <v>2</v>
      </c>
      <c r="G65" s="809"/>
      <c r="H65" s="809">
        <v>2.335</v>
      </c>
      <c r="I65" s="816">
        <f>16521.2/165.2*2.335*2*1.342</f>
        <v>626.7595240193706</v>
      </c>
      <c r="J65" s="816">
        <f t="shared" si="4"/>
        <v>0.036266020688206106</v>
      </c>
      <c r="K65">
        <v>16085.1</v>
      </c>
    </row>
    <row r="66" spans="2:11" ht="12.75">
      <c r="B66" s="797" t="s">
        <v>549</v>
      </c>
      <c r="C66" s="812" t="s">
        <v>556</v>
      </c>
      <c r="D66" s="809" t="s">
        <v>550</v>
      </c>
      <c r="E66" s="809"/>
      <c r="F66" s="809"/>
      <c r="G66" s="809"/>
      <c r="H66" s="809">
        <v>2.208</v>
      </c>
      <c r="I66" s="816"/>
      <c r="J66" s="816"/>
      <c r="K66">
        <v>16085.1</v>
      </c>
    </row>
    <row r="67" spans="2:10" ht="25.5">
      <c r="B67" s="809" t="s">
        <v>554</v>
      </c>
      <c r="C67" s="811" t="s">
        <v>552</v>
      </c>
      <c r="D67" s="809" t="s">
        <v>553</v>
      </c>
      <c r="E67" s="809"/>
      <c r="F67" s="809">
        <v>0.2</v>
      </c>
      <c r="G67" s="809"/>
      <c r="H67" s="809">
        <v>8</v>
      </c>
      <c r="I67" s="816">
        <f>16085.1/165.2*0.2*8*1.342</f>
        <v>209.06735302663444</v>
      </c>
      <c r="J67" s="816">
        <f>I67/1440.19/12</f>
        <v>0.012097208992484466</v>
      </c>
    </row>
    <row r="68" spans="2:10" ht="12.75">
      <c r="B68" s="836"/>
      <c r="C68" s="836" t="s">
        <v>749</v>
      </c>
      <c r="D68" s="836"/>
      <c r="E68" s="836"/>
      <c r="F68" s="836"/>
      <c r="G68" s="836"/>
      <c r="H68" s="836"/>
      <c r="I68" s="837">
        <f>SUM(I58:I67)</f>
        <v>4534.653938467555</v>
      </c>
      <c r="J68" s="836"/>
    </row>
    <row r="69" spans="2:10" ht="12.75">
      <c r="B69" s="809"/>
      <c r="C69" s="811" t="s">
        <v>557</v>
      </c>
      <c r="D69" s="809"/>
      <c r="E69" s="809"/>
      <c r="F69" s="809"/>
      <c r="G69" s="809"/>
      <c r="H69" s="809" t="s">
        <v>56</v>
      </c>
      <c r="I69" s="809"/>
      <c r="J69" s="809"/>
    </row>
    <row r="70" spans="2:10" ht="12.75">
      <c r="B70" s="809" t="s">
        <v>558</v>
      </c>
      <c r="C70" s="811" t="s">
        <v>559</v>
      </c>
      <c r="D70" s="809" t="s">
        <v>560</v>
      </c>
      <c r="E70" s="809"/>
      <c r="F70" s="809">
        <v>2</v>
      </c>
      <c r="G70" s="809"/>
      <c r="H70" s="809">
        <v>120.7</v>
      </c>
      <c r="I70" s="809">
        <f>F70*H70</f>
        <v>241.4</v>
      </c>
      <c r="J70" s="809"/>
    </row>
    <row r="71" spans="2:10" ht="12.75">
      <c r="B71" s="809"/>
      <c r="C71" s="811" t="s">
        <v>561</v>
      </c>
      <c r="D71" s="809" t="s">
        <v>572</v>
      </c>
      <c r="E71" s="809"/>
      <c r="F71" s="809">
        <v>1</v>
      </c>
      <c r="G71" s="809"/>
      <c r="H71" s="809">
        <v>45</v>
      </c>
      <c r="I71" s="809">
        <f>F71*H71</f>
        <v>45</v>
      </c>
      <c r="J71" s="809"/>
    </row>
    <row r="72" spans="2:10" ht="12.75">
      <c r="B72" s="809"/>
      <c r="C72" s="811" t="s">
        <v>562</v>
      </c>
      <c r="D72" s="809" t="s">
        <v>578</v>
      </c>
      <c r="E72" s="809"/>
      <c r="F72" s="809">
        <v>1.5</v>
      </c>
      <c r="G72" s="809"/>
      <c r="H72" s="809">
        <v>39</v>
      </c>
      <c r="I72" s="809">
        <f>F72*H72</f>
        <v>58.5</v>
      </c>
      <c r="J72" s="809"/>
    </row>
    <row r="73" spans="2:10" ht="12.75">
      <c r="B73" s="809" t="s">
        <v>563</v>
      </c>
      <c r="C73" s="811" t="s">
        <v>564</v>
      </c>
      <c r="D73" s="809" t="s">
        <v>528</v>
      </c>
      <c r="E73" s="809"/>
      <c r="F73" s="809"/>
      <c r="G73" s="809"/>
      <c r="H73" s="809">
        <v>1800</v>
      </c>
      <c r="I73" s="809">
        <v>1800</v>
      </c>
      <c r="J73" s="809"/>
    </row>
    <row r="74" spans="2:10" ht="12.75">
      <c r="B74" s="809"/>
      <c r="C74" s="811" t="s">
        <v>565</v>
      </c>
      <c r="D74" s="809" t="s">
        <v>528</v>
      </c>
      <c r="E74" s="809"/>
      <c r="F74" s="809"/>
      <c r="G74" s="809"/>
      <c r="H74" s="809">
        <v>953</v>
      </c>
      <c r="I74" s="809">
        <v>953</v>
      </c>
      <c r="J74" s="809"/>
    </row>
    <row r="75" spans="2:10" ht="12.75">
      <c r="B75" s="809" t="s">
        <v>566</v>
      </c>
      <c r="C75" s="811" t="s">
        <v>567</v>
      </c>
      <c r="D75" s="809" t="s">
        <v>569</v>
      </c>
      <c r="E75" s="809"/>
      <c r="F75" s="809">
        <v>20</v>
      </c>
      <c r="G75" s="809"/>
      <c r="H75" s="809">
        <v>114.5</v>
      </c>
      <c r="I75" s="809">
        <f aca="true" t="shared" si="5" ref="I75:I81">F75*H75</f>
        <v>2290</v>
      </c>
      <c r="J75" s="809"/>
    </row>
    <row r="76" spans="2:10" ht="12.75">
      <c r="B76" s="809"/>
      <c r="C76" s="811" t="s">
        <v>568</v>
      </c>
      <c r="D76" s="809" t="s">
        <v>569</v>
      </c>
      <c r="E76" s="809"/>
      <c r="F76" s="809"/>
      <c r="G76" s="809"/>
      <c r="H76" s="809">
        <v>0</v>
      </c>
      <c r="I76" s="809">
        <f t="shared" si="5"/>
        <v>0</v>
      </c>
      <c r="J76" s="809"/>
    </row>
    <row r="77" spans="2:10" ht="12.75">
      <c r="B77" s="809" t="s">
        <v>570</v>
      </c>
      <c r="C77" s="811" t="s">
        <v>571</v>
      </c>
      <c r="D77" s="809" t="s">
        <v>572</v>
      </c>
      <c r="E77" s="809"/>
      <c r="F77" s="809">
        <v>1.6</v>
      </c>
      <c r="G77" s="809"/>
      <c r="H77" s="809">
        <v>50</v>
      </c>
      <c r="I77" s="809">
        <f t="shared" si="5"/>
        <v>80</v>
      </c>
      <c r="J77" s="809"/>
    </row>
    <row r="78" spans="2:10" ht="12.75">
      <c r="B78" s="809" t="s">
        <v>573</v>
      </c>
      <c r="C78" s="811" t="s">
        <v>575</v>
      </c>
      <c r="D78" s="809" t="s">
        <v>574</v>
      </c>
      <c r="E78" s="809"/>
      <c r="F78" s="809">
        <v>0.315</v>
      </c>
      <c r="G78" s="809"/>
      <c r="H78" s="809">
        <v>24</v>
      </c>
      <c r="I78" s="809">
        <f t="shared" si="5"/>
        <v>7.5600000000000005</v>
      </c>
      <c r="J78" s="809"/>
    </row>
    <row r="79" spans="2:10" ht="12.75">
      <c r="B79" s="809"/>
      <c r="C79" s="811" t="s">
        <v>709</v>
      </c>
      <c r="D79" s="809" t="s">
        <v>560</v>
      </c>
      <c r="E79" s="809"/>
      <c r="F79" s="809">
        <v>0.87</v>
      </c>
      <c r="G79" s="809"/>
      <c r="H79" s="809">
        <v>1.27</v>
      </c>
      <c r="I79" s="816">
        <f t="shared" si="5"/>
        <v>1.1049</v>
      </c>
      <c r="J79" s="809"/>
    </row>
    <row r="80" spans="2:10" ht="12.75">
      <c r="B80" s="809" t="s">
        <v>576</v>
      </c>
      <c r="C80" s="811" t="s">
        <v>577</v>
      </c>
      <c r="D80" s="809" t="s">
        <v>322</v>
      </c>
      <c r="E80" s="809"/>
      <c r="F80" s="809">
        <v>6</v>
      </c>
      <c r="G80" s="809"/>
      <c r="H80" s="809">
        <v>38</v>
      </c>
      <c r="I80" s="809">
        <f t="shared" si="5"/>
        <v>228</v>
      </c>
      <c r="J80" s="809"/>
    </row>
    <row r="81" spans="2:10" ht="12.75">
      <c r="B81" s="809" t="s">
        <v>581</v>
      </c>
      <c r="C81" s="811" t="s">
        <v>579</v>
      </c>
      <c r="D81" s="809" t="s">
        <v>580</v>
      </c>
      <c r="E81" s="809"/>
      <c r="F81" s="809">
        <v>2</v>
      </c>
      <c r="G81" s="809"/>
      <c r="H81" s="809">
        <v>120</v>
      </c>
      <c r="I81" s="809">
        <f t="shared" si="5"/>
        <v>240</v>
      </c>
      <c r="J81" s="809"/>
    </row>
    <row r="82" spans="2:10" ht="12.75">
      <c r="B82" s="836"/>
      <c r="C82" s="836"/>
      <c r="D82" s="836"/>
      <c r="E82" s="836"/>
      <c r="F82" s="836"/>
      <c r="G82" s="836"/>
      <c r="H82" s="836"/>
      <c r="I82" s="836">
        <f>SUM(I70:I81)</f>
        <v>5944.5649</v>
      </c>
      <c r="J82" s="836"/>
    </row>
    <row r="83" spans="2:10" ht="12.75">
      <c r="B83" s="798" t="s">
        <v>663</v>
      </c>
      <c r="C83" s="803" t="s">
        <v>649</v>
      </c>
      <c r="D83" s="798"/>
      <c r="E83" s="798"/>
      <c r="F83" s="798"/>
      <c r="G83" s="798"/>
      <c r="H83" s="798"/>
      <c r="I83" s="798"/>
      <c r="J83" s="798"/>
    </row>
    <row r="84" spans="2:11" ht="12.75">
      <c r="B84" s="798"/>
      <c r="C84" s="798" t="s">
        <v>650</v>
      </c>
      <c r="D84" s="798" t="s">
        <v>664</v>
      </c>
      <c r="E84" s="798"/>
      <c r="F84" s="798">
        <v>5</v>
      </c>
      <c r="G84" s="798"/>
      <c r="H84" s="798">
        <v>0.2</v>
      </c>
      <c r="I84" s="801">
        <f>8381.7/165.2*5*0.2*1.342</f>
        <v>68.08862832929785</v>
      </c>
      <c r="J84" s="800">
        <f>I84/1440.19/12</f>
        <v>0.0039397943054561</v>
      </c>
      <c r="K84" s="799">
        <v>3</v>
      </c>
    </row>
    <row r="85" spans="2:10" ht="25.5">
      <c r="B85" s="798"/>
      <c r="C85" s="802" t="s">
        <v>665</v>
      </c>
      <c r="D85" s="798" t="s">
        <v>616</v>
      </c>
      <c r="E85" s="798"/>
      <c r="F85" s="798">
        <v>2</v>
      </c>
      <c r="G85" s="798"/>
      <c r="H85" s="798">
        <v>0.19</v>
      </c>
      <c r="I85" s="801">
        <f>7914.8*1.059/165.2*0.19*2*1.342</f>
        <v>25.873904728038745</v>
      </c>
      <c r="J85" s="800">
        <f>I85/1440.19/12</f>
        <v>0.0014971349109052015</v>
      </c>
    </row>
    <row r="86" spans="2:10" ht="12.75">
      <c r="B86" s="798"/>
      <c r="C86" s="798" t="s">
        <v>666</v>
      </c>
      <c r="D86" s="798"/>
      <c r="E86" s="798"/>
      <c r="F86" s="798">
        <v>5</v>
      </c>
      <c r="G86" s="798"/>
      <c r="H86" s="798">
        <v>3.8</v>
      </c>
      <c r="I86" s="798">
        <f>40*3.8</f>
        <v>152</v>
      </c>
      <c r="J86" s="801">
        <f>I86/1440.19/12</f>
        <v>0.008795135826985791</v>
      </c>
    </row>
    <row r="87" spans="2:10" ht="12.75">
      <c r="B87" s="798"/>
      <c r="C87" s="798" t="s">
        <v>667</v>
      </c>
      <c r="D87" s="798" t="s">
        <v>668</v>
      </c>
      <c r="E87" s="798"/>
      <c r="F87" s="798">
        <v>2</v>
      </c>
      <c r="G87" s="798"/>
      <c r="H87" s="798">
        <v>33.2</v>
      </c>
      <c r="I87" s="798">
        <f>H87*F87</f>
        <v>66.4</v>
      </c>
      <c r="J87" s="800">
        <f>I87/1440.19/12</f>
        <v>0.003842085650735898</v>
      </c>
    </row>
    <row r="88" spans="2:14" ht="12.75">
      <c r="B88" s="798"/>
      <c r="C88" s="803" t="s">
        <v>700</v>
      </c>
      <c r="D88" s="798"/>
      <c r="E88" s="798"/>
      <c r="F88" s="798"/>
      <c r="G88" s="798"/>
      <c r="H88" s="798"/>
      <c r="I88" s="884">
        <f>I84+I85</f>
        <v>93.9625330573366</v>
      </c>
      <c r="J88" s="801"/>
      <c r="K88" s="935"/>
      <c r="L88" s="910"/>
      <c r="M88" s="910"/>
      <c r="N88" s="910"/>
    </row>
    <row r="89" spans="2:14" ht="12.75">
      <c r="B89" s="798"/>
      <c r="C89" s="803" t="s">
        <v>701</v>
      </c>
      <c r="D89" s="798"/>
      <c r="E89" s="798"/>
      <c r="F89" s="798"/>
      <c r="G89" s="798"/>
      <c r="H89" s="798"/>
      <c r="I89" s="803">
        <f>I86+I87</f>
        <v>218.4</v>
      </c>
      <c r="J89" s="801"/>
      <c r="K89" s="935"/>
      <c r="L89" s="910"/>
      <c r="M89" s="910"/>
      <c r="N89" s="910"/>
    </row>
    <row r="90" spans="2:12" ht="12.75">
      <c r="B90" s="798"/>
      <c r="C90" s="798" t="s">
        <v>702</v>
      </c>
      <c r="D90" s="798"/>
      <c r="E90" s="798"/>
      <c r="F90" s="798"/>
      <c r="G90" s="798"/>
      <c r="H90" s="798"/>
      <c r="I90" s="801">
        <f>I56+I82+I89</f>
        <v>6811.0749</v>
      </c>
      <c r="J90" s="801"/>
      <c r="K90" s="935" t="s">
        <v>750</v>
      </c>
      <c r="L90" s="910"/>
    </row>
    <row r="91" spans="2:11" ht="12.75">
      <c r="B91" s="798"/>
      <c r="C91" s="835" t="s">
        <v>703</v>
      </c>
      <c r="D91" s="798"/>
      <c r="E91" s="798"/>
      <c r="F91" s="798"/>
      <c r="G91" s="798"/>
      <c r="H91" s="798"/>
      <c r="I91" s="801">
        <f>I68+I88</f>
        <v>4628.6164715248915</v>
      </c>
      <c r="J91" s="801"/>
      <c r="K91">
        <v>3306</v>
      </c>
    </row>
    <row r="92" spans="2:11" ht="12.75">
      <c r="B92" s="798"/>
      <c r="C92" s="835" t="s">
        <v>708</v>
      </c>
      <c r="D92" s="798"/>
      <c r="E92" s="798"/>
      <c r="F92" s="798"/>
      <c r="G92" s="798"/>
      <c r="H92" s="798"/>
      <c r="I92" s="801"/>
      <c r="J92" s="801"/>
      <c r="K92">
        <v>521</v>
      </c>
    </row>
    <row r="93" spans="2:10" ht="12.75">
      <c r="B93" s="798"/>
      <c r="C93" s="835"/>
      <c r="D93" s="798"/>
      <c r="E93" s="798"/>
      <c r="F93" s="798"/>
      <c r="G93" s="798"/>
      <c r="H93" s="798"/>
      <c r="I93" s="801"/>
      <c r="J93" s="801"/>
    </row>
    <row r="94" spans="2:10" ht="25.5">
      <c r="B94" s="809"/>
      <c r="C94" s="810" t="s">
        <v>711</v>
      </c>
      <c r="D94" s="809"/>
      <c r="E94" s="809"/>
      <c r="F94" s="809"/>
      <c r="G94" s="809"/>
      <c r="H94" s="809"/>
      <c r="I94" s="809"/>
      <c r="J94" s="809"/>
    </row>
    <row r="95" spans="2:13" ht="38.25">
      <c r="B95" s="809" t="s">
        <v>583</v>
      </c>
      <c r="C95" s="811" t="s">
        <v>582</v>
      </c>
      <c r="D95" s="809"/>
      <c r="E95" s="809"/>
      <c r="F95" s="809"/>
      <c r="G95" s="809"/>
      <c r="H95" s="809"/>
      <c r="I95" s="809"/>
      <c r="J95" s="809"/>
      <c r="L95" s="794" t="s">
        <v>654</v>
      </c>
      <c r="M95" s="794" t="s">
        <v>656</v>
      </c>
    </row>
    <row r="96" spans="2:13" ht="12.75">
      <c r="B96" s="809"/>
      <c r="C96" s="811" t="s">
        <v>585</v>
      </c>
      <c r="D96" s="809" t="s">
        <v>584</v>
      </c>
      <c r="E96" s="809"/>
      <c r="F96" s="809"/>
      <c r="G96" s="809"/>
      <c r="H96" s="809">
        <v>0.33</v>
      </c>
      <c r="I96" s="809"/>
      <c r="J96" s="809"/>
      <c r="K96">
        <v>3</v>
      </c>
      <c r="L96" t="s">
        <v>655</v>
      </c>
      <c r="M96" t="s">
        <v>657</v>
      </c>
    </row>
    <row r="97" spans="2:13" ht="12.75">
      <c r="B97" s="809"/>
      <c r="C97" s="811" t="s">
        <v>586</v>
      </c>
      <c r="D97" s="809" t="s">
        <v>584</v>
      </c>
      <c r="E97" s="809"/>
      <c r="F97" s="809"/>
      <c r="G97" s="809"/>
      <c r="H97" s="809">
        <v>0.54</v>
      </c>
      <c r="I97" s="809"/>
      <c r="J97" s="809"/>
      <c r="L97" t="s">
        <v>553</v>
      </c>
      <c r="M97" t="s">
        <v>658</v>
      </c>
    </row>
    <row r="98" spans="2:13" ht="12.75">
      <c r="B98" s="809"/>
      <c r="C98" s="811" t="s">
        <v>659</v>
      </c>
      <c r="D98" s="809"/>
      <c r="E98" s="809"/>
      <c r="F98" s="809"/>
      <c r="G98" s="809"/>
      <c r="H98" s="809"/>
      <c r="I98" s="809"/>
      <c r="J98" s="809"/>
      <c r="L98">
        <v>2.14</v>
      </c>
      <c r="M98" t="s">
        <v>660</v>
      </c>
    </row>
    <row r="99" spans="2:12" ht="51">
      <c r="B99" s="809" t="s">
        <v>587</v>
      </c>
      <c r="C99" s="811" t="s">
        <v>588</v>
      </c>
      <c r="D99" s="809" t="s">
        <v>589</v>
      </c>
      <c r="E99" s="809"/>
      <c r="F99" s="809"/>
      <c r="G99" s="809"/>
      <c r="H99" s="809">
        <v>0.9</v>
      </c>
      <c r="I99" s="809"/>
      <c r="J99" s="809"/>
      <c r="K99">
        <v>2.4</v>
      </c>
      <c r="L99" s="794" t="s">
        <v>662</v>
      </c>
    </row>
    <row r="100" spans="2:12" ht="76.5">
      <c r="B100" s="809" t="s">
        <v>590</v>
      </c>
      <c r="C100" s="811" t="s">
        <v>591</v>
      </c>
      <c r="D100" s="812" t="s">
        <v>592</v>
      </c>
      <c r="E100" s="809"/>
      <c r="F100" s="809"/>
      <c r="G100" s="809"/>
      <c r="H100" s="809">
        <v>3.3</v>
      </c>
      <c r="I100" s="809"/>
      <c r="J100" s="809"/>
      <c r="K100">
        <v>2.4</v>
      </c>
      <c r="L100" s="794" t="s">
        <v>661</v>
      </c>
    </row>
    <row r="101" spans="2:11" ht="38.25">
      <c r="B101" s="809" t="s">
        <v>593</v>
      </c>
      <c r="C101" s="811" t="s">
        <v>594</v>
      </c>
      <c r="D101" s="809" t="s">
        <v>595</v>
      </c>
      <c r="E101" s="809"/>
      <c r="F101" s="809"/>
      <c r="G101" s="809"/>
      <c r="H101" s="809">
        <v>12</v>
      </c>
      <c r="I101" s="809"/>
      <c r="J101" s="809"/>
      <c r="K101">
        <v>2.3</v>
      </c>
    </row>
    <row r="102" spans="2:12" ht="25.5">
      <c r="B102" s="809" t="s">
        <v>597</v>
      </c>
      <c r="C102" s="811" t="s">
        <v>596</v>
      </c>
      <c r="D102" s="809"/>
      <c r="E102" s="809"/>
      <c r="F102" s="809"/>
      <c r="G102" s="809"/>
      <c r="H102" s="809">
        <v>0.55</v>
      </c>
      <c r="I102" s="809"/>
      <c r="J102" s="809"/>
      <c r="K102">
        <v>3</v>
      </c>
      <c r="L102" s="794" t="s">
        <v>639</v>
      </c>
    </row>
    <row r="103" spans="2:12" ht="89.25">
      <c r="B103" s="809" t="s">
        <v>598</v>
      </c>
      <c r="C103" s="811" t="s">
        <v>599</v>
      </c>
      <c r="D103" s="809" t="s">
        <v>580</v>
      </c>
      <c r="E103" s="809"/>
      <c r="F103" s="809"/>
      <c r="G103" s="809"/>
      <c r="H103" s="809">
        <v>0.66</v>
      </c>
      <c r="I103" s="809"/>
      <c r="J103" s="809"/>
      <c r="K103">
        <v>2.3</v>
      </c>
      <c r="L103" s="794" t="s">
        <v>651</v>
      </c>
    </row>
    <row r="104" spans="2:12" ht="25.5">
      <c r="B104" s="809" t="s">
        <v>602</v>
      </c>
      <c r="C104" s="811" t="s">
        <v>600</v>
      </c>
      <c r="D104" s="809" t="s">
        <v>601</v>
      </c>
      <c r="E104" s="809"/>
      <c r="F104" s="809"/>
      <c r="G104" s="809"/>
      <c r="H104" s="809">
        <v>0.36</v>
      </c>
      <c r="I104" s="809"/>
      <c r="J104" s="809"/>
      <c r="K104">
        <v>2.3</v>
      </c>
      <c r="L104" s="794" t="s">
        <v>640</v>
      </c>
    </row>
    <row r="105" spans="2:12" ht="76.5">
      <c r="B105" s="809" t="s">
        <v>603</v>
      </c>
      <c r="C105" s="813" t="s">
        <v>678</v>
      </c>
      <c r="D105" s="814" t="s">
        <v>601</v>
      </c>
      <c r="E105" s="814"/>
      <c r="F105" s="814">
        <v>4</v>
      </c>
      <c r="G105" s="814"/>
      <c r="H105" s="814">
        <v>0.49</v>
      </c>
      <c r="I105" s="815">
        <f>7914.8*1.059*2/165.2*4*0.49*1.342*1.25</f>
        <v>333.63719254576273</v>
      </c>
      <c r="J105" s="815">
        <f>I105/1440.19/12</f>
        <v>0.01930516069325128</v>
      </c>
      <c r="K105" s="806">
        <v>2.3</v>
      </c>
      <c r="L105" s="807" t="s">
        <v>652</v>
      </c>
    </row>
    <row r="106" spans="2:12" ht="12.75">
      <c r="B106" s="809" t="s">
        <v>679</v>
      </c>
      <c r="C106" s="813"/>
      <c r="D106" s="814"/>
      <c r="E106" s="814"/>
      <c r="F106" s="814"/>
      <c r="G106" s="814"/>
      <c r="H106" s="814">
        <v>1.5</v>
      </c>
      <c r="I106" s="815">
        <f>7914.8*1.059*2*1.342/165.2</f>
        <v>136.178445937046</v>
      </c>
      <c r="J106" s="815"/>
      <c r="K106" s="806"/>
      <c r="L106" s="807"/>
    </row>
    <row r="107" spans="2:12" ht="12.75">
      <c r="B107" s="809"/>
      <c r="C107" s="813" t="s">
        <v>673</v>
      </c>
      <c r="D107" s="814" t="s">
        <v>672</v>
      </c>
      <c r="E107" s="814"/>
      <c r="F107" s="814">
        <v>3</v>
      </c>
      <c r="G107" s="814"/>
      <c r="H107" s="814">
        <v>154</v>
      </c>
      <c r="I107" s="815">
        <f>F107*H107</f>
        <v>462</v>
      </c>
      <c r="J107" s="815">
        <f>I107/1440.19/12</f>
        <v>0.026732583895180493</v>
      </c>
      <c r="K107" s="806"/>
      <c r="L107" s="807"/>
    </row>
    <row r="108" spans="2:12" ht="12.75">
      <c r="B108" s="809"/>
      <c r="C108" s="813" t="s">
        <v>674</v>
      </c>
      <c r="D108" s="814" t="s">
        <v>670</v>
      </c>
      <c r="E108" s="814"/>
      <c r="F108" s="814">
        <v>0.05</v>
      </c>
      <c r="G108" s="814"/>
      <c r="H108" s="814">
        <v>150</v>
      </c>
      <c r="I108" s="815">
        <f>F108*H108</f>
        <v>7.5</v>
      </c>
      <c r="J108" s="815">
        <f>I108/1440.19/12</f>
        <v>0.0004339705177789041</v>
      </c>
      <c r="K108" s="806"/>
      <c r="L108" s="807"/>
    </row>
    <row r="109" spans="2:11" ht="12.75">
      <c r="B109" s="809" t="s">
        <v>606</v>
      </c>
      <c r="C109" s="811" t="s">
        <v>604</v>
      </c>
      <c r="D109" s="809" t="s">
        <v>605</v>
      </c>
      <c r="E109" s="809"/>
      <c r="F109" s="809"/>
      <c r="G109" s="809"/>
      <c r="H109" s="809">
        <v>1.01</v>
      </c>
      <c r="I109" s="809"/>
      <c r="J109" s="809"/>
      <c r="K109">
        <v>3</v>
      </c>
    </row>
    <row r="110" spans="2:10" ht="12.75">
      <c r="B110" s="809" t="s">
        <v>609</v>
      </c>
      <c r="C110" s="811" t="s">
        <v>607</v>
      </c>
      <c r="D110" s="809" t="s">
        <v>608</v>
      </c>
      <c r="E110" s="809"/>
      <c r="F110" s="809"/>
      <c r="G110" s="809"/>
      <c r="H110" s="809">
        <v>1</v>
      </c>
      <c r="I110" s="809"/>
      <c r="J110" s="809"/>
    </row>
    <row r="111" spans="2:11" ht="12.75">
      <c r="B111" s="809" t="s">
        <v>612</v>
      </c>
      <c r="C111" s="811" t="s">
        <v>610</v>
      </c>
      <c r="D111" s="809" t="s">
        <v>611</v>
      </c>
      <c r="E111" s="809"/>
      <c r="F111" s="809"/>
      <c r="G111" s="809"/>
      <c r="H111" s="809">
        <v>0.52</v>
      </c>
      <c r="I111" s="809"/>
      <c r="J111" s="809"/>
      <c r="K111">
        <v>3</v>
      </c>
    </row>
    <row r="112" spans="2:12" ht="12.75">
      <c r="B112" s="809" t="s">
        <v>615</v>
      </c>
      <c r="C112" s="811" t="s">
        <v>613</v>
      </c>
      <c r="D112" s="809" t="s">
        <v>614</v>
      </c>
      <c r="E112" s="809"/>
      <c r="F112" s="809"/>
      <c r="G112" s="809"/>
      <c r="H112" s="809">
        <v>0.78</v>
      </c>
      <c r="I112" s="809"/>
      <c r="J112" s="809"/>
      <c r="K112">
        <v>4</v>
      </c>
      <c r="L112" t="s">
        <v>646</v>
      </c>
    </row>
    <row r="113" spans="2:12" ht="25.5">
      <c r="B113" s="809" t="s">
        <v>615</v>
      </c>
      <c r="C113" s="811" t="s">
        <v>617</v>
      </c>
      <c r="D113" s="809" t="s">
        <v>616</v>
      </c>
      <c r="E113" s="809"/>
      <c r="F113" s="809"/>
      <c r="G113" s="809"/>
      <c r="H113" s="809">
        <v>0.47</v>
      </c>
      <c r="I113" s="809"/>
      <c r="J113" s="809"/>
      <c r="K113">
        <v>4</v>
      </c>
      <c r="L113" t="s">
        <v>645</v>
      </c>
    </row>
    <row r="114" spans="2:12" ht="12.75">
      <c r="B114" s="809"/>
      <c r="C114" s="811" t="s">
        <v>618</v>
      </c>
      <c r="D114" s="809"/>
      <c r="E114" s="809"/>
      <c r="F114" s="809"/>
      <c r="G114" s="809"/>
      <c r="H114" s="809">
        <v>1.4</v>
      </c>
      <c r="I114" s="809"/>
      <c r="J114" s="809"/>
      <c r="L114" t="s">
        <v>645</v>
      </c>
    </row>
    <row r="115" spans="2:12" ht="25.5">
      <c r="B115" s="809"/>
      <c r="C115" s="811" t="s">
        <v>619</v>
      </c>
      <c r="D115" s="809"/>
      <c r="E115" s="809"/>
      <c r="F115" s="809"/>
      <c r="G115" s="809"/>
      <c r="H115" s="809">
        <v>0.15</v>
      </c>
      <c r="I115" s="809"/>
      <c r="J115" s="809"/>
      <c r="L115" t="s">
        <v>644</v>
      </c>
    </row>
    <row r="116" spans="2:12" ht="38.25">
      <c r="B116" s="809" t="s">
        <v>647</v>
      </c>
      <c r="C116" s="811" t="s">
        <v>648</v>
      </c>
      <c r="D116" s="809" t="s">
        <v>601</v>
      </c>
      <c r="E116" s="809"/>
      <c r="F116" s="809">
        <v>1.5</v>
      </c>
      <c r="G116" s="809"/>
      <c r="H116" s="809">
        <v>1.378</v>
      </c>
      <c r="I116" s="816">
        <f>8381.7/165.2*1.5*1.378*1.342</f>
        <v>140.7391947566586</v>
      </c>
      <c r="J116" s="816">
        <f>I116/1440.19/12</f>
        <v>0.008143554829377756</v>
      </c>
      <c r="K116">
        <v>2.3</v>
      </c>
      <c r="L116" s="794" t="s">
        <v>642</v>
      </c>
    </row>
    <row r="117" spans="2:12" ht="12.75">
      <c r="B117" s="809"/>
      <c r="C117" s="811" t="s">
        <v>669</v>
      </c>
      <c r="D117" s="809" t="s">
        <v>601</v>
      </c>
      <c r="E117" s="809"/>
      <c r="F117" s="809">
        <v>1.5</v>
      </c>
      <c r="G117" s="809"/>
      <c r="H117" s="809">
        <v>350</v>
      </c>
      <c r="I117" s="816">
        <f>F117*H117</f>
        <v>525</v>
      </c>
      <c r="J117" s="816">
        <f>I117/1440.19/12</f>
        <v>0.030377936244523288</v>
      </c>
      <c r="L117" s="794"/>
    </row>
    <row r="118" spans="2:12" ht="38.25">
      <c r="B118" s="809" t="s">
        <v>620</v>
      </c>
      <c r="C118" s="811" t="s">
        <v>621</v>
      </c>
      <c r="D118" s="809" t="s">
        <v>622</v>
      </c>
      <c r="E118" s="809"/>
      <c r="F118" s="809"/>
      <c r="G118" s="809"/>
      <c r="H118" s="809">
        <v>0.95</v>
      </c>
      <c r="I118" s="809"/>
      <c r="J118" s="809"/>
      <c r="K118">
        <v>2.4</v>
      </c>
      <c r="L118" s="794" t="s">
        <v>643</v>
      </c>
    </row>
    <row r="119" spans="2:11" ht="25.5">
      <c r="B119" s="809" t="s">
        <v>623</v>
      </c>
      <c r="C119" s="813" t="s">
        <v>624</v>
      </c>
      <c r="D119" s="814" t="s">
        <v>601</v>
      </c>
      <c r="E119" s="814"/>
      <c r="F119" s="814">
        <v>0.75</v>
      </c>
      <c r="G119" s="814"/>
      <c r="H119" s="814">
        <v>1.08</v>
      </c>
      <c r="I119" s="815">
        <f>7914.8*1.059*2/165.2*0.75*1.08*1.342</f>
        <v>110.30454120900727</v>
      </c>
      <c r="J119" s="817">
        <f>I119/1440.19/12</f>
        <v>0.006382522514911647</v>
      </c>
      <c r="K119" s="806">
        <v>4</v>
      </c>
    </row>
    <row r="120" spans="2:12" ht="38.25">
      <c r="B120" s="809"/>
      <c r="C120" s="811" t="s">
        <v>625</v>
      </c>
      <c r="D120" s="812" t="s">
        <v>653</v>
      </c>
      <c r="E120" s="809"/>
      <c r="F120" s="809">
        <v>0.0375</v>
      </c>
      <c r="G120" s="809"/>
      <c r="H120" s="809"/>
      <c r="I120" s="809"/>
      <c r="J120" s="809"/>
      <c r="L120" s="794" t="s">
        <v>638</v>
      </c>
    </row>
    <row r="121" spans="2:12" ht="12.75">
      <c r="B121" s="809" t="s">
        <v>679</v>
      </c>
      <c r="C121" s="813"/>
      <c r="D121" s="813"/>
      <c r="E121" s="814"/>
      <c r="F121" s="814"/>
      <c r="G121" s="814"/>
      <c r="H121" s="814">
        <v>1.5</v>
      </c>
      <c r="I121" s="815">
        <f>7914.8*1.059*2*1.342/165.2</f>
        <v>136.178445937046</v>
      </c>
      <c r="J121" s="817">
        <f aca="true" t="shared" si="6" ref="J121:J126">I121/1440.19/12</f>
        <v>0.007879657425816849</v>
      </c>
      <c r="L121" s="794"/>
    </row>
    <row r="122" spans="2:12" ht="12.75">
      <c r="B122" s="809"/>
      <c r="C122" s="813" t="s">
        <v>669</v>
      </c>
      <c r="D122" s="813" t="s">
        <v>671</v>
      </c>
      <c r="E122" s="814"/>
      <c r="F122" s="814">
        <v>0.025</v>
      </c>
      <c r="G122" s="814"/>
      <c r="H122" s="814">
        <v>7500</v>
      </c>
      <c r="I122" s="814">
        <f>0.025*7500</f>
        <v>187.5</v>
      </c>
      <c r="J122" s="817">
        <f t="shared" si="6"/>
        <v>0.010849262944472604</v>
      </c>
      <c r="K122" s="806"/>
      <c r="L122" s="794"/>
    </row>
    <row r="123" spans="2:13" ht="38.25">
      <c r="B123" s="809" t="s">
        <v>626</v>
      </c>
      <c r="C123" s="813" t="s">
        <v>677</v>
      </c>
      <c r="D123" s="813" t="s">
        <v>627</v>
      </c>
      <c r="E123" s="814"/>
      <c r="F123" s="814">
        <v>6.4</v>
      </c>
      <c r="G123" s="814"/>
      <c r="H123" s="814">
        <v>0.53</v>
      </c>
      <c r="I123" s="815">
        <f>8381.7/165.2*6.4*0.53*1.342</f>
        <v>230.9566272929783</v>
      </c>
      <c r="J123" s="817">
        <f t="shared" si="6"/>
        <v>0.013363782284107091</v>
      </c>
      <c r="K123" s="806"/>
      <c r="L123" s="794" t="s">
        <v>637</v>
      </c>
      <c r="M123" s="794" t="s">
        <v>641</v>
      </c>
    </row>
    <row r="124" spans="2:13" ht="12.75">
      <c r="B124" s="809" t="s">
        <v>679</v>
      </c>
      <c r="C124" s="813"/>
      <c r="D124" s="813"/>
      <c r="E124" s="814"/>
      <c r="F124" s="814"/>
      <c r="G124" s="814"/>
      <c r="H124" s="814">
        <v>1.5</v>
      </c>
      <c r="I124" s="815">
        <f>7914.8*1.059*2*1.342/165.2</f>
        <v>136.178445937046</v>
      </c>
      <c r="J124" s="817">
        <f t="shared" si="6"/>
        <v>0.007879657425816849</v>
      </c>
      <c r="K124" s="806"/>
      <c r="L124" s="794"/>
      <c r="M124" s="794"/>
    </row>
    <row r="125" spans="2:13" ht="12.75">
      <c r="B125" s="809"/>
      <c r="C125" s="813" t="s">
        <v>669</v>
      </c>
      <c r="D125" s="813" t="s">
        <v>670</v>
      </c>
      <c r="E125" s="814"/>
      <c r="F125" s="814">
        <v>3.66</v>
      </c>
      <c r="G125" s="814"/>
      <c r="H125" s="814">
        <v>75</v>
      </c>
      <c r="I125" s="815">
        <f>F125*H125</f>
        <v>274.5</v>
      </c>
      <c r="J125" s="817">
        <f t="shared" si="6"/>
        <v>0.01588332095070789</v>
      </c>
      <c r="K125" s="806"/>
      <c r="L125" s="794"/>
      <c r="M125" s="794"/>
    </row>
    <row r="126" spans="2:13" ht="38.25">
      <c r="B126" s="809" t="s">
        <v>680</v>
      </c>
      <c r="C126" s="813" t="s">
        <v>681</v>
      </c>
      <c r="D126" s="813"/>
      <c r="E126" s="814"/>
      <c r="F126" s="814"/>
      <c r="G126" s="814"/>
      <c r="H126" s="814">
        <v>4</v>
      </c>
      <c r="I126" s="815">
        <f>7914.8*1.059*2*1.342/165.2*4/3*2</f>
        <v>363.14252249878933</v>
      </c>
      <c r="J126" s="817">
        <f t="shared" si="6"/>
        <v>0.021012419802178262</v>
      </c>
      <c r="K126" s="806"/>
      <c r="L126" s="794"/>
      <c r="M126" s="794"/>
    </row>
    <row r="127" spans="2:10" ht="12.75">
      <c r="B127" s="809"/>
      <c r="C127" s="818" t="s">
        <v>628</v>
      </c>
      <c r="D127" s="809" t="s">
        <v>629</v>
      </c>
      <c r="E127" s="809"/>
      <c r="F127" s="809"/>
      <c r="G127" s="809"/>
      <c r="H127" s="809"/>
      <c r="I127" s="809"/>
      <c r="J127" s="819"/>
    </row>
    <row r="128" spans="2:12" ht="38.25">
      <c r="B128" s="812" t="s">
        <v>631</v>
      </c>
      <c r="C128" s="811" t="s">
        <v>630</v>
      </c>
      <c r="D128" s="809" t="s">
        <v>601</v>
      </c>
      <c r="E128" s="809"/>
      <c r="F128" s="809"/>
      <c r="G128" s="809"/>
      <c r="H128" s="809">
        <v>2.38</v>
      </c>
      <c r="I128" s="809"/>
      <c r="J128" s="809"/>
      <c r="L128" s="794" t="s">
        <v>635</v>
      </c>
    </row>
    <row r="129" spans="2:13" ht="76.5">
      <c r="B129" s="809" t="s">
        <v>633</v>
      </c>
      <c r="C129" s="811" t="s">
        <v>632</v>
      </c>
      <c r="D129" s="809" t="s">
        <v>601</v>
      </c>
      <c r="E129" s="809"/>
      <c r="F129" s="809"/>
      <c r="G129" s="809"/>
      <c r="H129" s="809">
        <v>0.082</v>
      </c>
      <c r="I129" s="809"/>
      <c r="J129" s="809"/>
      <c r="L129" s="794" t="s">
        <v>634</v>
      </c>
      <c r="M129" s="794" t="s">
        <v>636</v>
      </c>
    </row>
    <row r="130" spans="2:10" ht="12.75">
      <c r="B130" s="809"/>
      <c r="C130" s="809"/>
      <c r="D130" s="809"/>
      <c r="E130" s="809"/>
      <c r="F130" s="809"/>
      <c r="G130" s="809"/>
      <c r="H130" s="809"/>
      <c r="I130" s="809"/>
      <c r="J130" s="809"/>
    </row>
    <row r="131" spans="2:10" ht="25.5">
      <c r="B131" s="809"/>
      <c r="C131" s="813" t="s">
        <v>676</v>
      </c>
      <c r="D131" s="809"/>
      <c r="E131" s="809"/>
      <c r="F131" s="809"/>
      <c r="G131" s="809"/>
      <c r="H131" s="809"/>
      <c r="I131" s="809"/>
      <c r="J131" s="809"/>
    </row>
    <row r="132" spans="2:10" ht="12.75">
      <c r="B132" s="809"/>
      <c r="C132" s="813" t="s">
        <v>675</v>
      </c>
      <c r="D132" s="809"/>
      <c r="E132" s="809"/>
      <c r="F132" s="809"/>
      <c r="G132" s="809"/>
      <c r="H132" s="809"/>
      <c r="I132" s="809"/>
      <c r="J132" s="809"/>
    </row>
    <row r="133" spans="2:10" ht="56.25">
      <c r="B133" s="809"/>
      <c r="C133" s="838" t="s">
        <v>682</v>
      </c>
      <c r="D133" s="809"/>
      <c r="E133" s="809"/>
      <c r="F133" s="809"/>
      <c r="G133" s="809"/>
      <c r="H133" s="809"/>
      <c r="I133" s="809"/>
      <c r="J133" s="809"/>
    </row>
    <row r="134" spans="2:12" ht="12.75">
      <c r="B134" s="814" t="s">
        <v>692</v>
      </c>
      <c r="C134" s="847" t="s">
        <v>683</v>
      </c>
      <c r="D134" s="814" t="s">
        <v>684</v>
      </c>
      <c r="E134" s="814"/>
      <c r="F134" s="814">
        <v>657.4</v>
      </c>
      <c r="G134" s="814"/>
      <c r="H134" s="814">
        <v>2.6</v>
      </c>
      <c r="I134" s="814"/>
      <c r="J134" s="815">
        <f>7914.8*1.059/165.2/1.342*2.6*657.4/1000*2</f>
        <v>129.24280936955793</v>
      </c>
      <c r="L134" t="s">
        <v>690</v>
      </c>
    </row>
    <row r="135" spans="2:12" ht="12.75">
      <c r="B135" s="814"/>
      <c r="C135" s="847" t="s">
        <v>685</v>
      </c>
      <c r="D135" s="847" t="s">
        <v>686</v>
      </c>
      <c r="E135" s="814"/>
      <c r="F135" s="814">
        <v>4384</v>
      </c>
      <c r="G135" s="814"/>
      <c r="H135" s="814">
        <v>0.24</v>
      </c>
      <c r="I135" s="814"/>
      <c r="J135" s="815">
        <f>7914.8*1.059*1.342/165.2*0.24*4384/100*2</f>
        <v>1432.8151367712233</v>
      </c>
      <c r="L135" t="s">
        <v>691</v>
      </c>
    </row>
    <row r="136" spans="2:12" ht="22.5">
      <c r="B136" s="814"/>
      <c r="C136" s="838" t="s">
        <v>687</v>
      </c>
      <c r="D136" s="814" t="s">
        <v>688</v>
      </c>
      <c r="E136" s="814"/>
      <c r="F136" s="814">
        <v>1.0852</v>
      </c>
      <c r="G136" s="814"/>
      <c r="H136" s="848">
        <v>3</v>
      </c>
      <c r="I136" s="814"/>
      <c r="J136" s="815">
        <f>7914.8*1.059*1.342/165.2*3*1.0852*2</f>
        <v>443.34254859264695</v>
      </c>
      <c r="L136" t="s">
        <v>689</v>
      </c>
    </row>
    <row r="137" spans="2:12" ht="22.5">
      <c r="B137" s="814"/>
      <c r="C137" s="838" t="s">
        <v>695</v>
      </c>
      <c r="D137" s="814" t="s">
        <v>688</v>
      </c>
      <c r="E137" s="814"/>
      <c r="F137" s="814">
        <v>1.0852</v>
      </c>
      <c r="G137" s="814"/>
      <c r="H137" s="848">
        <v>4</v>
      </c>
      <c r="I137" s="814"/>
      <c r="J137" s="815">
        <f>7914.8*1.059*1.342/165.2*4*1.0852*2</f>
        <v>591.1233981235292</v>
      </c>
      <c r="L137" s="820" t="s">
        <v>694</v>
      </c>
    </row>
    <row r="138" spans="2:12" ht="22.5">
      <c r="B138" s="814"/>
      <c r="C138" s="838" t="s">
        <v>696</v>
      </c>
      <c r="D138" s="814" t="s">
        <v>688</v>
      </c>
      <c r="E138" s="814"/>
      <c r="F138" s="814">
        <v>1.0852</v>
      </c>
      <c r="G138" s="814"/>
      <c r="H138" s="848">
        <v>3</v>
      </c>
      <c r="I138" s="814"/>
      <c r="J138" s="815">
        <f>7914.8*1.059*1.342/165.2*3*1.0852*2</f>
        <v>443.34254859264695</v>
      </c>
      <c r="L138" s="820" t="s">
        <v>694</v>
      </c>
    </row>
    <row r="139" spans="2:12" ht="22.5">
      <c r="B139" s="814"/>
      <c r="C139" s="838" t="s">
        <v>693</v>
      </c>
      <c r="D139" s="814" t="s">
        <v>688</v>
      </c>
      <c r="E139" s="814"/>
      <c r="F139" s="814">
        <v>1.0852</v>
      </c>
      <c r="G139" s="814"/>
      <c r="H139" s="848">
        <v>3.5</v>
      </c>
      <c r="I139" s="814"/>
      <c r="J139" s="815">
        <f>7914.8*1.059*1.342/165.2*3.5*1.0852*2</f>
        <v>517.2329733580881</v>
      </c>
      <c r="L139" t="s">
        <v>697</v>
      </c>
    </row>
    <row r="140" spans="2:10" ht="22.5">
      <c r="B140" s="814"/>
      <c r="C140" s="838" t="s">
        <v>698</v>
      </c>
      <c r="D140" s="814"/>
      <c r="E140" s="814"/>
      <c r="F140" s="814"/>
      <c r="G140" s="814"/>
      <c r="H140" s="814"/>
      <c r="I140" s="814"/>
      <c r="J140" s="849">
        <f>SUM(J134:J139)</f>
        <v>3557.0994148076925</v>
      </c>
    </row>
    <row r="141" spans="3:10" ht="12.75">
      <c r="C141" s="809"/>
      <c r="D141" s="809"/>
      <c r="E141" s="809"/>
      <c r="F141" s="809"/>
      <c r="G141" s="809"/>
      <c r="H141" s="809"/>
      <c r="I141" s="809"/>
      <c r="J141" s="809"/>
    </row>
    <row r="142" spans="3:10" ht="12.75">
      <c r="C142" s="809"/>
      <c r="D142" s="809"/>
      <c r="E142" s="809"/>
      <c r="F142" s="809"/>
      <c r="G142" s="809"/>
      <c r="H142" s="809"/>
      <c r="I142" s="809"/>
      <c r="J142" s="809"/>
    </row>
    <row r="143" spans="3:10" ht="12.75">
      <c r="C143" s="814" t="s">
        <v>721</v>
      </c>
      <c r="D143" s="809"/>
      <c r="E143" s="809"/>
      <c r="F143" s="809"/>
      <c r="G143" s="809"/>
      <c r="H143" s="809"/>
      <c r="I143" s="809"/>
      <c r="J143" s="809"/>
    </row>
    <row r="144" spans="3:10" ht="12.75">
      <c r="C144" s="809" t="s">
        <v>722</v>
      </c>
      <c r="D144" s="809"/>
      <c r="E144" s="809"/>
      <c r="F144" s="809"/>
      <c r="G144" s="809"/>
      <c r="H144" s="809"/>
      <c r="I144" s="809">
        <v>3557.1</v>
      </c>
      <c r="J144" s="809"/>
    </row>
    <row r="145" spans="3:10" ht="12.75">
      <c r="C145" s="809" t="s">
        <v>723</v>
      </c>
      <c r="D145" s="809"/>
      <c r="E145" s="809"/>
      <c r="F145" s="809"/>
      <c r="G145" s="809"/>
      <c r="H145" s="809"/>
      <c r="I145" s="816">
        <f>I105+I106+I119+I121+I123+I124+I126</f>
        <v>1446.5762213576756</v>
      </c>
      <c r="J145" s="809"/>
    </row>
    <row r="146" spans="3:10" ht="12.75">
      <c r="C146" s="809" t="s">
        <v>724</v>
      </c>
      <c r="D146" s="809"/>
      <c r="E146" s="809"/>
      <c r="F146" s="809"/>
      <c r="G146" s="809"/>
      <c r="H146" s="809"/>
      <c r="I146" s="809">
        <v>2229.85</v>
      </c>
      <c r="J146" s="809"/>
    </row>
    <row r="147" spans="3:10" ht="12.75">
      <c r="C147" s="809" t="s">
        <v>725</v>
      </c>
      <c r="D147" s="809"/>
      <c r="E147" s="809"/>
      <c r="F147" s="809"/>
      <c r="G147" s="809"/>
      <c r="H147" s="809"/>
      <c r="I147" s="809">
        <v>1494.32</v>
      </c>
      <c r="J147" s="809"/>
    </row>
    <row r="148" spans="3:10" ht="12.75">
      <c r="C148" s="809" t="s">
        <v>726</v>
      </c>
      <c r="D148" s="809"/>
      <c r="E148" s="809"/>
      <c r="F148" s="809"/>
      <c r="G148" s="809"/>
      <c r="H148" s="809"/>
      <c r="I148" s="809">
        <v>4822.63</v>
      </c>
      <c r="J148" s="809"/>
    </row>
    <row r="149" spans="3:10" ht="12.75">
      <c r="C149" s="880" t="s">
        <v>727</v>
      </c>
      <c r="D149" s="880"/>
      <c r="E149" s="880"/>
      <c r="F149" s="880"/>
      <c r="G149" s="880"/>
      <c r="H149" s="880"/>
      <c r="I149" s="880">
        <f>I144+I145+I146+I147+I148</f>
        <v>13550.476221357676</v>
      </c>
      <c r="J149" s="880"/>
    </row>
    <row r="150" spans="3:10" ht="12.75">
      <c r="C150" s="809" t="s">
        <v>728</v>
      </c>
      <c r="D150" s="809"/>
      <c r="E150" s="809"/>
      <c r="F150" s="809"/>
      <c r="G150" s="809"/>
      <c r="H150" s="809"/>
      <c r="I150" s="816">
        <f>I107+I108+I122+I125</f>
        <v>931.5</v>
      </c>
      <c r="J150" s="809"/>
    </row>
    <row r="151" spans="3:10" ht="12.75">
      <c r="C151" s="809" t="s">
        <v>729</v>
      </c>
      <c r="D151" s="809"/>
      <c r="E151" s="809"/>
      <c r="F151" s="809"/>
      <c r="G151" s="809"/>
      <c r="H151" s="809"/>
      <c r="I151" s="809">
        <v>187.74</v>
      </c>
      <c r="J151" s="809"/>
    </row>
    <row r="152" spans="3:10" ht="12.75">
      <c r="C152" s="880" t="s">
        <v>727</v>
      </c>
      <c r="D152" s="880"/>
      <c r="E152" s="880"/>
      <c r="F152" s="880"/>
      <c r="G152" s="880"/>
      <c r="H152" s="880"/>
      <c r="I152" s="881">
        <f>I150+I151</f>
        <v>1119.24</v>
      </c>
      <c r="J152" s="880"/>
    </row>
    <row r="153" spans="3:10" ht="12.75">
      <c r="C153" s="809" t="s">
        <v>730</v>
      </c>
      <c r="D153" s="809"/>
      <c r="E153" s="809"/>
      <c r="F153" s="809"/>
      <c r="G153" s="809"/>
      <c r="H153" s="809"/>
      <c r="I153" s="880">
        <f>I149+I152</f>
        <v>14669.716221357676</v>
      </c>
      <c r="J153" s="809"/>
    </row>
    <row r="154" spans="3:10" ht="12.75">
      <c r="C154" s="809" t="s">
        <v>738</v>
      </c>
      <c r="D154" s="809"/>
      <c r="E154" s="809"/>
      <c r="F154" s="809"/>
      <c r="G154" s="809"/>
      <c r="H154" s="809"/>
      <c r="I154" s="809">
        <f>I153-I146</f>
        <v>12439.866221357675</v>
      </c>
      <c r="J154" s="809"/>
    </row>
    <row r="155" spans="3:10" ht="12.75">
      <c r="C155" s="809" t="s">
        <v>740</v>
      </c>
      <c r="D155" s="809"/>
      <c r="E155" s="809"/>
      <c r="F155" s="809"/>
      <c r="G155" s="809"/>
      <c r="H155" s="809"/>
      <c r="I155" s="809" t="s">
        <v>741</v>
      </c>
      <c r="J155" s="809"/>
    </row>
  </sheetData>
  <sheetProtection/>
  <mergeCells count="17">
    <mergeCell ref="K50:O50"/>
    <mergeCell ref="K54:O54"/>
    <mergeCell ref="K90:L90"/>
    <mergeCell ref="K53:O53"/>
    <mergeCell ref="K88:N88"/>
    <mergeCell ref="K89:N89"/>
    <mergeCell ref="K55:O55"/>
    <mergeCell ref="B1:I1"/>
    <mergeCell ref="A55:J55"/>
    <mergeCell ref="K40:M40"/>
    <mergeCell ref="L15:M15"/>
    <mergeCell ref="K14:M14"/>
    <mergeCell ref="L17:M17"/>
    <mergeCell ref="L18:M18"/>
    <mergeCell ref="L20:M20"/>
    <mergeCell ref="K47:O47"/>
    <mergeCell ref="K49:O49"/>
  </mergeCells>
  <printOptions/>
  <pageMargins left="0.64" right="0.37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pane xSplit="2" ySplit="5" topLeftCell="C23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F27" sqref="F27"/>
    </sheetView>
  </sheetViews>
  <sheetFormatPr defaultColWidth="9.00390625" defaultRowHeight="12.75"/>
  <cols>
    <col min="1" max="1" width="3.875" style="114" customWidth="1"/>
    <col min="2" max="2" width="24.875" style="0" customWidth="1"/>
    <col min="3" max="3" width="16.00390625" style="3" customWidth="1"/>
    <col min="4" max="4" width="10.125" style="3" bestFit="1" customWidth="1"/>
    <col min="5" max="5" width="10.25390625" style="3" customWidth="1"/>
    <col min="6" max="6" width="9.25390625" style="3" bestFit="1" customWidth="1"/>
    <col min="7" max="7" width="8.00390625" style="3" customWidth="1"/>
    <col min="8" max="8" width="12.875" style="3" customWidth="1"/>
    <col min="9" max="9" width="11.25390625" style="3" hidden="1" customWidth="1"/>
    <col min="10" max="10" width="0" style="155" hidden="1" customWidth="1"/>
    <col min="11" max="11" width="0" style="3" hidden="1" customWidth="1"/>
    <col min="12" max="12" width="0" style="155" hidden="1" customWidth="1"/>
    <col min="13" max="13" width="0" style="0" hidden="1" customWidth="1"/>
    <col min="14" max="14" width="9.75390625" style="3" customWidth="1"/>
    <col min="15" max="15" width="12.00390625" style="3" customWidth="1"/>
    <col min="16" max="16" width="11.625" style="0" customWidth="1"/>
    <col min="17" max="17" width="11.125" style="0" customWidth="1"/>
  </cols>
  <sheetData>
    <row r="1" spans="2:15" ht="17.25" customHeight="1">
      <c r="B1" s="943" t="s">
        <v>762</v>
      </c>
      <c r="C1" s="943"/>
      <c r="D1" s="943"/>
      <c r="E1" s="943"/>
      <c r="F1" s="943"/>
      <c r="G1" s="943"/>
      <c r="H1" s="943"/>
      <c r="I1" s="943"/>
      <c r="J1" s="943"/>
      <c r="K1" s="943"/>
      <c r="L1" s="943"/>
      <c r="M1" s="943"/>
      <c r="N1" s="943"/>
      <c r="O1" s="943"/>
    </row>
    <row r="2" spans="1:15" ht="16.5" thickBot="1">
      <c r="A2" s="113"/>
      <c r="B2" s="131" t="s">
        <v>476</v>
      </c>
      <c r="H2" s="244"/>
      <c r="O2" s="425"/>
    </row>
    <row r="3" spans="1:15" s="2" customFormat="1" ht="78.75" customHeight="1">
      <c r="A3" s="241"/>
      <c r="B3" s="242" t="s">
        <v>0</v>
      </c>
      <c r="C3" s="15" t="s">
        <v>86</v>
      </c>
      <c r="D3" s="15" t="s">
        <v>151</v>
      </c>
      <c r="E3" s="15" t="s">
        <v>311</v>
      </c>
      <c r="F3" s="15" t="s">
        <v>150</v>
      </c>
      <c r="G3" s="220" t="s">
        <v>495</v>
      </c>
      <c r="H3" s="306" t="s">
        <v>288</v>
      </c>
      <c r="I3" s="941" t="s">
        <v>154</v>
      </c>
      <c r="J3" s="942"/>
      <c r="K3" s="942"/>
      <c r="L3" s="942"/>
      <c r="M3" s="220"/>
      <c r="N3" s="426" t="s">
        <v>190</v>
      </c>
      <c r="O3" s="939" t="s">
        <v>178</v>
      </c>
    </row>
    <row r="4" spans="1:15" s="2" customFormat="1" ht="28.5" customHeight="1" thickBot="1">
      <c r="A4" s="249"/>
      <c r="B4" s="300"/>
      <c r="C4" s="12"/>
      <c r="D4" s="12"/>
      <c r="E4" s="305" t="s">
        <v>280</v>
      </c>
      <c r="F4" s="305" t="s">
        <v>285</v>
      </c>
      <c r="G4" s="432" t="s">
        <v>280</v>
      </c>
      <c r="H4" s="433" t="s">
        <v>287</v>
      </c>
      <c r="I4" s="301"/>
      <c r="J4" s="302"/>
      <c r="K4" s="302"/>
      <c r="L4" s="302"/>
      <c r="M4" s="218"/>
      <c r="N4" s="310" t="s">
        <v>309</v>
      </c>
      <c r="O4" s="940"/>
    </row>
    <row r="5" spans="1:15" s="243" customFormat="1" ht="14.25" customHeight="1" thickBot="1">
      <c r="A5" s="299" t="s">
        <v>87</v>
      </c>
      <c r="B5" s="304" t="s">
        <v>191</v>
      </c>
      <c r="C5" s="304" t="s">
        <v>88</v>
      </c>
      <c r="D5" s="299" t="s">
        <v>72</v>
      </c>
      <c r="E5" s="304" t="s">
        <v>73</v>
      </c>
      <c r="F5" s="304" t="s">
        <v>74</v>
      </c>
      <c r="G5" s="434" t="s">
        <v>75</v>
      </c>
      <c r="H5" s="436" t="s">
        <v>76</v>
      </c>
      <c r="I5" s="435" t="s">
        <v>77</v>
      </c>
      <c r="J5" s="299" t="s">
        <v>78</v>
      </c>
      <c r="K5" s="304" t="s">
        <v>79</v>
      </c>
      <c r="L5" s="304" t="s">
        <v>80</v>
      </c>
      <c r="M5" s="299" t="s">
        <v>81</v>
      </c>
      <c r="N5" s="437" t="s">
        <v>77</v>
      </c>
      <c r="O5" s="436" t="s">
        <v>78</v>
      </c>
    </row>
    <row r="6" spans="1:15" s="21" customFormat="1" ht="18.75" customHeight="1">
      <c r="A6" s="124" t="s">
        <v>191</v>
      </c>
      <c r="B6" s="564" t="s">
        <v>85</v>
      </c>
      <c r="C6" s="565"/>
      <c r="D6" s="565"/>
      <c r="E6" s="566"/>
      <c r="F6" s="565"/>
      <c r="G6" s="567"/>
      <c r="H6" s="568"/>
      <c r="I6" s="569"/>
      <c r="J6" s="570"/>
      <c r="K6" s="571"/>
      <c r="L6" s="572"/>
      <c r="M6" s="573"/>
      <c r="N6" s="574"/>
      <c r="O6" s="575"/>
    </row>
    <row r="7" spans="1:15" s="117" customFormat="1" ht="32.25" customHeight="1">
      <c r="A7" s="121" t="s">
        <v>88</v>
      </c>
      <c r="B7" s="369" t="s">
        <v>179</v>
      </c>
      <c r="C7" s="576"/>
      <c r="D7" s="576"/>
      <c r="E7" s="752" t="s">
        <v>298</v>
      </c>
      <c r="F7" s="752" t="s">
        <v>298</v>
      </c>
      <c r="G7" s="752" t="s">
        <v>298</v>
      </c>
      <c r="H7" s="773">
        <f>'сан содерж'!G19</f>
        <v>6699.3452436868865</v>
      </c>
      <c r="I7" s="576" t="s">
        <v>298</v>
      </c>
      <c r="J7" s="576" t="s">
        <v>298</v>
      </c>
      <c r="K7" s="576" t="s">
        <v>298</v>
      </c>
      <c r="L7" s="576" t="s">
        <v>298</v>
      </c>
      <c r="M7" s="576" t="s">
        <v>298</v>
      </c>
      <c r="N7" s="576">
        <f>'Исход дан'!D$11</f>
        <v>943.6</v>
      </c>
      <c r="O7" s="695">
        <f>ROUND(H7/N7/12,2)</f>
        <v>0.59</v>
      </c>
    </row>
    <row r="8" spans="1:15" s="117" customFormat="1" ht="33" customHeight="1">
      <c r="A8" s="121" t="s">
        <v>72</v>
      </c>
      <c r="B8" s="369" t="s">
        <v>181</v>
      </c>
      <c r="C8" s="576"/>
      <c r="D8" s="576"/>
      <c r="E8" s="752" t="s">
        <v>298</v>
      </c>
      <c r="F8" s="752" t="s">
        <v>298</v>
      </c>
      <c r="G8" s="752" t="s">
        <v>298</v>
      </c>
      <c r="H8" s="614">
        <f>'сан содерж'!G42</f>
        <v>18576.01548839309</v>
      </c>
      <c r="I8" s="576" t="s">
        <v>298</v>
      </c>
      <c r="J8" s="576" t="s">
        <v>298</v>
      </c>
      <c r="K8" s="576" t="s">
        <v>298</v>
      </c>
      <c r="L8" s="576" t="s">
        <v>298</v>
      </c>
      <c r="M8" s="576" t="s">
        <v>298</v>
      </c>
      <c r="N8" s="576">
        <f>'Исход дан'!D$11</f>
        <v>943.6</v>
      </c>
      <c r="O8" s="695">
        <f>ROUND(H8/N8/12,2)</f>
        <v>1.64</v>
      </c>
    </row>
    <row r="9" spans="1:15" s="117" customFormat="1" ht="21.75" customHeight="1">
      <c r="A9" s="121" t="s">
        <v>73</v>
      </c>
      <c r="B9" s="369" t="s">
        <v>180</v>
      </c>
      <c r="C9" s="576"/>
      <c r="D9" s="576"/>
      <c r="E9" s="752" t="s">
        <v>298</v>
      </c>
      <c r="F9" s="752" t="s">
        <v>298</v>
      </c>
      <c r="G9" s="752" t="s">
        <v>298</v>
      </c>
      <c r="H9" s="614" t="e">
        <f>'сан содерж'!G54</f>
        <v>#DIV/0!</v>
      </c>
      <c r="I9" s="576" t="s">
        <v>298</v>
      </c>
      <c r="J9" s="576" t="s">
        <v>298</v>
      </c>
      <c r="K9" s="576" t="s">
        <v>298</v>
      </c>
      <c r="L9" s="576" t="s">
        <v>298</v>
      </c>
      <c r="M9" s="576" t="s">
        <v>298</v>
      </c>
      <c r="N9" s="576">
        <f>'Исход дан'!D$11</f>
        <v>943.6</v>
      </c>
      <c r="O9" s="695" t="e">
        <f>ROUND(H9/N9/12,2)</f>
        <v>#DIV/0!</v>
      </c>
    </row>
    <row r="10" spans="1:15" s="117" customFormat="1" ht="40.5" customHeight="1" thickBot="1">
      <c r="A10" s="249" t="s">
        <v>74</v>
      </c>
      <c r="B10" s="423" t="s">
        <v>382</v>
      </c>
      <c r="C10" s="577"/>
      <c r="D10" s="576"/>
      <c r="E10" s="752" t="s">
        <v>298</v>
      </c>
      <c r="F10" s="752" t="s">
        <v>298</v>
      </c>
      <c r="G10" s="752" t="s">
        <v>298</v>
      </c>
      <c r="H10" s="614">
        <f>'сан содерж'!G59</f>
        <v>2830.768</v>
      </c>
      <c r="I10" s="576" t="s">
        <v>298</v>
      </c>
      <c r="J10" s="576" t="s">
        <v>298</v>
      </c>
      <c r="K10" s="576" t="s">
        <v>298</v>
      </c>
      <c r="L10" s="576" t="s">
        <v>298</v>
      </c>
      <c r="M10" s="576" t="s">
        <v>298</v>
      </c>
      <c r="N10" s="577">
        <f>'Исход дан'!D$11</f>
        <v>943.6</v>
      </c>
      <c r="O10" s="699">
        <f>ROUND(H10/N10/12,2)</f>
        <v>0.25</v>
      </c>
    </row>
    <row r="11" spans="1:15" s="1" customFormat="1" ht="30" customHeight="1" thickBot="1">
      <c r="A11" s="365" t="s">
        <v>75</v>
      </c>
      <c r="B11" s="578" t="s">
        <v>149</v>
      </c>
      <c r="C11" s="579"/>
      <c r="D11" s="579"/>
      <c r="E11" s="579"/>
      <c r="F11" s="579"/>
      <c r="G11" s="580"/>
      <c r="H11" s="585">
        <f>H7+H8+H10</f>
        <v>28106.12873207998</v>
      </c>
      <c r="I11" s="581"/>
      <c r="J11" s="582"/>
      <c r="K11" s="582"/>
      <c r="L11" s="582"/>
      <c r="M11" s="583"/>
      <c r="N11" s="584">
        <f>'Исход дан'!D$11</f>
        <v>943.6</v>
      </c>
      <c r="O11" s="775">
        <f>O7+O8+O10</f>
        <v>2.48</v>
      </c>
    </row>
    <row r="12" spans="1:15" s="4" customFormat="1" ht="15" customHeight="1">
      <c r="A12" s="124" t="s">
        <v>76</v>
      </c>
      <c r="B12" s="586" t="s">
        <v>175</v>
      </c>
      <c r="C12" s="587"/>
      <c r="D12" s="587"/>
      <c r="E12" s="753"/>
      <c r="F12" s="754"/>
      <c r="G12" s="755"/>
      <c r="H12" s="588"/>
      <c r="I12" s="589"/>
      <c r="J12" s="590"/>
      <c r="K12" s="590"/>
      <c r="L12" s="590"/>
      <c r="M12" s="591"/>
      <c r="N12" s="592"/>
      <c r="O12" s="593"/>
    </row>
    <row r="13" spans="1:15" s="62" customFormat="1" ht="15" customHeight="1">
      <c r="A13" s="121" t="s">
        <v>77</v>
      </c>
      <c r="B13" s="594" t="s">
        <v>171</v>
      </c>
      <c r="C13" s="595" t="s">
        <v>243</v>
      </c>
      <c r="D13" s="595"/>
      <c r="E13" s="756"/>
      <c r="F13" s="757"/>
      <c r="G13" s="758"/>
      <c r="H13" s="596">
        <v>1245.6</v>
      </c>
      <c r="I13" s="597"/>
      <c r="J13" s="598"/>
      <c r="K13" s="598"/>
      <c r="L13" s="598"/>
      <c r="M13" s="599"/>
      <c r="N13" s="576">
        <f>'Исход дан'!D$11</f>
        <v>943.6</v>
      </c>
      <c r="O13" s="773">
        <f>H13/12/N13</f>
        <v>0.11000423908435777</v>
      </c>
    </row>
    <row r="14" spans="1:15" s="62" customFormat="1" ht="15" customHeight="1">
      <c r="A14" s="121" t="s">
        <v>78</v>
      </c>
      <c r="B14" s="594" t="s">
        <v>172</v>
      </c>
      <c r="C14" s="595" t="s">
        <v>243</v>
      </c>
      <c r="D14" s="595"/>
      <c r="E14" s="756"/>
      <c r="F14" s="757"/>
      <c r="G14" s="758"/>
      <c r="H14" s="596"/>
      <c r="I14" s="597"/>
      <c r="J14" s="598"/>
      <c r="K14" s="598"/>
      <c r="L14" s="598"/>
      <c r="M14" s="599"/>
      <c r="N14" s="576">
        <f>'Исход дан'!D$11</f>
        <v>943.6</v>
      </c>
      <c r="O14" s="695">
        <f>ROUND(H14/N14/12,2)</f>
        <v>0</v>
      </c>
    </row>
    <row r="15" spans="1:15" s="62" customFormat="1" ht="15" customHeight="1">
      <c r="A15" s="121" t="s">
        <v>79</v>
      </c>
      <c r="B15" s="594" t="s">
        <v>173</v>
      </c>
      <c r="C15" s="595" t="s">
        <v>243</v>
      </c>
      <c r="D15" s="595"/>
      <c r="E15" s="756"/>
      <c r="F15" s="757"/>
      <c r="G15" s="758"/>
      <c r="H15" s="596"/>
      <c r="I15" s="597"/>
      <c r="J15" s="598"/>
      <c r="K15" s="598"/>
      <c r="L15" s="598"/>
      <c r="M15" s="599"/>
      <c r="N15" s="576">
        <f>'Исход дан'!D$11</f>
        <v>943.6</v>
      </c>
      <c r="O15" s="695">
        <f>ROUND(H15/N15/12,2)</f>
        <v>0</v>
      </c>
    </row>
    <row r="16" spans="1:15" s="62" customFormat="1" ht="15" customHeight="1" thickBot="1">
      <c r="A16" s="121" t="s">
        <v>80</v>
      </c>
      <c r="B16" s="594" t="s">
        <v>174</v>
      </c>
      <c r="C16" s="595" t="s">
        <v>243</v>
      </c>
      <c r="D16" s="595"/>
      <c r="E16" s="756"/>
      <c r="F16" s="757"/>
      <c r="G16" s="758"/>
      <c r="H16" s="596"/>
      <c r="I16" s="597"/>
      <c r="J16" s="598"/>
      <c r="K16" s="598"/>
      <c r="L16" s="598"/>
      <c r="M16" s="599"/>
      <c r="N16" s="577">
        <f>'Исход дан'!D$11</f>
        <v>943.6</v>
      </c>
      <c r="O16" s="699">
        <f>ROUND(H16/N16/12,2)</f>
        <v>0</v>
      </c>
    </row>
    <row r="17" spans="1:15" s="21" customFormat="1" ht="30" customHeight="1" thickBot="1">
      <c r="A17" s="346" t="s">
        <v>81</v>
      </c>
      <c r="B17" s="578" t="s">
        <v>286</v>
      </c>
      <c r="C17" s="579"/>
      <c r="D17" s="579"/>
      <c r="E17" s="600"/>
      <c r="F17" s="579"/>
      <c r="G17" s="580"/>
      <c r="H17" s="585">
        <f>SUM(H13:H16)</f>
        <v>1245.6</v>
      </c>
      <c r="I17" s="601"/>
      <c r="J17" s="602"/>
      <c r="K17" s="602"/>
      <c r="L17" s="602"/>
      <c r="M17" s="603"/>
      <c r="N17" s="584">
        <f>'Исход дан'!D$11</f>
        <v>943.6</v>
      </c>
      <c r="O17" s="792">
        <f>ROUND(H17/N17/12,2)</f>
        <v>0.11</v>
      </c>
    </row>
    <row r="18" spans="1:15" s="115" customFormat="1" ht="15" customHeight="1">
      <c r="A18" s="124" t="s">
        <v>155</v>
      </c>
      <c r="B18" s="604" t="s">
        <v>83</v>
      </c>
      <c r="C18" s="605" t="s">
        <v>84</v>
      </c>
      <c r="D18" s="605" t="s">
        <v>278</v>
      </c>
      <c r="E18" s="606"/>
      <c r="F18" s="605"/>
      <c r="G18" s="607"/>
      <c r="H18" s="808">
        <v>792.6</v>
      </c>
      <c r="I18" s="608"/>
      <c r="J18" s="609"/>
      <c r="K18" s="610"/>
      <c r="L18" s="609"/>
      <c r="M18" s="611"/>
      <c r="N18" s="592">
        <f>'Исход дан'!D$11</f>
        <v>943.6</v>
      </c>
      <c r="O18" s="791">
        <f>H18/N18/12</f>
        <v>0.06999788045782111</v>
      </c>
    </row>
    <row r="19" spans="1:15" s="95" customFormat="1" ht="33.75" customHeight="1">
      <c r="A19" s="121" t="s">
        <v>82</v>
      </c>
      <c r="B19" s="369" t="s">
        <v>65</v>
      </c>
      <c r="C19" s="613" t="s">
        <v>397</v>
      </c>
      <c r="D19" s="576" t="s">
        <v>277</v>
      </c>
      <c r="E19" s="759">
        <v>2.596</v>
      </c>
      <c r="F19" s="628">
        <v>2569</v>
      </c>
      <c r="G19" s="760">
        <v>1</v>
      </c>
      <c r="H19" s="821">
        <v>9738</v>
      </c>
      <c r="I19" s="615"/>
      <c r="J19" s="616"/>
      <c r="K19" s="616"/>
      <c r="L19" s="616"/>
      <c r="M19" s="617"/>
      <c r="N19" s="576">
        <f>'Исход дан'!D$11</f>
        <v>943.6</v>
      </c>
      <c r="O19" s="790">
        <f>ROUND(H19/N19/12,2)</f>
        <v>0.86</v>
      </c>
    </row>
    <row r="20" spans="1:15" s="22" customFormat="1" ht="26.25" customHeight="1">
      <c r="A20" s="121" t="s">
        <v>156</v>
      </c>
      <c r="B20" s="369" t="s">
        <v>473</v>
      </c>
      <c r="C20" s="576" t="s">
        <v>489</v>
      </c>
      <c r="D20" s="576" t="s">
        <v>398</v>
      </c>
      <c r="E20" s="760">
        <v>0.26</v>
      </c>
      <c r="F20" s="752">
        <f>'Исход дан'!D11</f>
        <v>943.6</v>
      </c>
      <c r="G20" s="761">
        <v>1</v>
      </c>
      <c r="H20" s="821">
        <f>E20*F20*G20*12</f>
        <v>2944.032</v>
      </c>
      <c r="I20" s="615"/>
      <c r="J20" s="618"/>
      <c r="K20" s="616"/>
      <c r="L20" s="618"/>
      <c r="M20" s="617"/>
      <c r="N20" s="576">
        <f>'Исход дан'!D$11</f>
        <v>943.6</v>
      </c>
      <c r="O20" s="695">
        <f>ROUND(H20/N20/12,3)</f>
        <v>0.26</v>
      </c>
    </row>
    <row r="21" spans="1:15" s="22" customFormat="1" ht="24.75" customHeight="1">
      <c r="A21" s="121" t="s">
        <v>157</v>
      </c>
      <c r="B21" s="369" t="s">
        <v>474</v>
      </c>
      <c r="C21" s="576" t="s">
        <v>489</v>
      </c>
      <c r="D21" s="576" t="s">
        <v>398</v>
      </c>
      <c r="E21" s="762">
        <v>0.12</v>
      </c>
      <c r="F21" s="752">
        <f>'Исход дан'!D11</f>
        <v>943.6</v>
      </c>
      <c r="G21" s="760">
        <v>1</v>
      </c>
      <c r="H21" s="821">
        <f>E21*F21*G21*12</f>
        <v>1358.784</v>
      </c>
      <c r="I21" s="615"/>
      <c r="J21" s="618"/>
      <c r="K21" s="616"/>
      <c r="L21" s="618"/>
      <c r="M21" s="617"/>
      <c r="N21" s="576">
        <f>'Исход дан'!D$11</f>
        <v>943.6</v>
      </c>
      <c r="O21" s="695">
        <f>ROUND(H21/N21/12,3)</f>
        <v>0.12</v>
      </c>
    </row>
    <row r="22" spans="1:15" s="22" customFormat="1" ht="15.75" customHeight="1" thickBot="1">
      <c r="A22" s="428" t="s">
        <v>158</v>
      </c>
      <c r="B22" s="619" t="s">
        <v>401</v>
      </c>
      <c r="C22" s="576" t="s">
        <v>489</v>
      </c>
      <c r="D22" s="576" t="s">
        <v>398</v>
      </c>
      <c r="E22" s="763">
        <v>0.16</v>
      </c>
      <c r="F22" s="764">
        <f>'Исход дан'!D11</f>
        <v>943.6</v>
      </c>
      <c r="G22" s="765">
        <v>1</v>
      </c>
      <c r="H22" s="821">
        <f>E22*F22*G22*12</f>
        <v>1811.712</v>
      </c>
      <c r="I22" s="620"/>
      <c r="J22" s="621"/>
      <c r="K22" s="622"/>
      <c r="L22" s="621"/>
      <c r="M22" s="623"/>
      <c r="N22" s="577">
        <f>'Исход дан'!D$11</f>
        <v>943.6</v>
      </c>
      <c r="O22" s="699">
        <f>ROUND(H22/N22/12,3)</f>
        <v>0.16</v>
      </c>
    </row>
    <row r="23" spans="1:15" s="21" customFormat="1" ht="28.5" customHeight="1" thickBot="1">
      <c r="A23" s="346" t="s">
        <v>89</v>
      </c>
      <c r="B23" s="578" t="s">
        <v>313</v>
      </c>
      <c r="C23" s="579"/>
      <c r="D23" s="579"/>
      <c r="E23" s="579"/>
      <c r="F23" s="579"/>
      <c r="G23" s="580"/>
      <c r="H23" s="585">
        <f>SUM(H18:H22)</f>
        <v>16645.128</v>
      </c>
      <c r="I23" s="581"/>
      <c r="J23" s="582"/>
      <c r="K23" s="582"/>
      <c r="L23" s="582"/>
      <c r="M23" s="583"/>
      <c r="N23" s="584">
        <f>'Исход дан'!D$11</f>
        <v>943.6</v>
      </c>
      <c r="O23" s="775">
        <f>ROUND(H23/N23/12,2)</f>
        <v>1.47</v>
      </c>
    </row>
    <row r="24" spans="1:17" s="1" customFormat="1" ht="25.5" customHeight="1">
      <c r="A24" s="124" t="s">
        <v>90</v>
      </c>
      <c r="B24" s="624" t="s">
        <v>183</v>
      </c>
      <c r="C24" s="625"/>
      <c r="D24" s="592"/>
      <c r="E24" s="752" t="s">
        <v>298</v>
      </c>
      <c r="F24" s="752" t="s">
        <v>298</v>
      </c>
      <c r="G24" s="760" t="s">
        <v>298</v>
      </c>
      <c r="H24" s="688">
        <f>профраб!I24</f>
        <v>15649.92504635514</v>
      </c>
      <c r="I24" s="689"/>
      <c r="J24" s="690"/>
      <c r="K24" s="592"/>
      <c r="L24" s="690"/>
      <c r="M24" s="626"/>
      <c r="N24" s="592">
        <f>'Исход дан'!D$11</f>
        <v>943.6</v>
      </c>
      <c r="O24" s="700">
        <f>ROUND(H24/N24/12,2)</f>
        <v>1.38</v>
      </c>
      <c r="P24" s="825"/>
      <c r="Q24" s="826"/>
    </row>
    <row r="25" spans="1:16" s="1" customFormat="1" ht="25.5" customHeight="1">
      <c r="A25" s="121" t="s">
        <v>91</v>
      </c>
      <c r="B25" s="369" t="s">
        <v>184</v>
      </c>
      <c r="C25" s="613"/>
      <c r="D25" s="576"/>
      <c r="E25" s="752" t="s">
        <v>298</v>
      </c>
      <c r="F25" s="752" t="s">
        <v>298</v>
      </c>
      <c r="G25" s="760" t="s">
        <v>298</v>
      </c>
      <c r="H25" s="614">
        <f>профраб!I38</f>
        <v>226.2030666825763</v>
      </c>
      <c r="I25" s="691"/>
      <c r="J25" s="692"/>
      <c r="K25" s="576"/>
      <c r="L25" s="692"/>
      <c r="M25" s="627"/>
      <c r="N25" s="576">
        <f>'Исход дан'!D$11</f>
        <v>943.6</v>
      </c>
      <c r="O25" s="695">
        <f>ROUND(H25/N25/12,2)</f>
        <v>0.02</v>
      </c>
      <c r="P25" s="424"/>
    </row>
    <row r="26" spans="1:16" s="1" customFormat="1" ht="30" customHeight="1" thickBot="1">
      <c r="A26" s="249" t="s">
        <v>92</v>
      </c>
      <c r="B26" s="843" t="s">
        <v>717</v>
      </c>
      <c r="C26" s="628"/>
      <c r="D26" s="577"/>
      <c r="E26" s="628"/>
      <c r="F26" s="766"/>
      <c r="G26" s="767"/>
      <c r="H26" s="629">
        <v>15917.2</v>
      </c>
      <c r="I26" s="693"/>
      <c r="J26" s="694"/>
      <c r="K26" s="577"/>
      <c r="L26" s="694"/>
      <c r="M26" s="630"/>
      <c r="N26" s="577">
        <f>'Исход дан'!D$11</f>
        <v>943.6</v>
      </c>
      <c r="O26" s="788">
        <f>ROUND(H26/N26/12,2)</f>
        <v>1.41</v>
      </c>
      <c r="P26" s="424"/>
    </row>
    <row r="27" spans="1:15" s="4" customFormat="1" ht="30" customHeight="1" thickBot="1">
      <c r="A27" s="346" t="s">
        <v>93</v>
      </c>
      <c r="B27" s="680" t="s">
        <v>410</v>
      </c>
      <c r="C27" s="579"/>
      <c r="D27" s="579"/>
      <c r="E27" s="579"/>
      <c r="F27" s="579"/>
      <c r="G27" s="580"/>
      <c r="H27" s="774">
        <f>SUM(H24:H26)</f>
        <v>31793.328113037715</v>
      </c>
      <c r="I27" s="581"/>
      <c r="J27" s="696"/>
      <c r="K27" s="582"/>
      <c r="L27" s="696"/>
      <c r="M27" s="681"/>
      <c r="N27" s="584">
        <f>'Исход дан'!D$11</f>
        <v>943.6</v>
      </c>
      <c r="O27" s="775">
        <f>ROUND(H27/N27/12,2)</f>
        <v>2.81</v>
      </c>
    </row>
    <row r="28" spans="1:15" s="4" customFormat="1" ht="39" customHeight="1">
      <c r="A28" s="551" t="s">
        <v>94</v>
      </c>
      <c r="B28" s="552" t="s">
        <v>487</v>
      </c>
      <c r="C28" s="632" t="s">
        <v>488</v>
      </c>
      <c r="D28" s="633"/>
      <c r="E28" s="768"/>
      <c r="F28" s="768"/>
      <c r="G28" s="769"/>
      <c r="H28" s="697">
        <f>E28*F28*G28</f>
        <v>0</v>
      </c>
      <c r="I28" s="634"/>
      <c r="J28" s="635"/>
      <c r="K28" s="636"/>
      <c r="L28" s="635"/>
      <c r="M28" s="637"/>
      <c r="N28" s="592">
        <f>'Исход дан'!D$11</f>
        <v>943.6</v>
      </c>
      <c r="O28" s="700">
        <f aca="true" t="shared" si="0" ref="O28:O33">ROUND(H28/N28/12,2)</f>
        <v>0</v>
      </c>
    </row>
    <row r="29" spans="1:15" s="370" customFormat="1" ht="44.25" customHeight="1">
      <c r="A29" s="431" t="s">
        <v>95</v>
      </c>
      <c r="B29" s="842" t="s">
        <v>716</v>
      </c>
      <c r="C29" s="429" t="s">
        <v>261</v>
      </c>
      <c r="D29" s="565"/>
      <c r="E29" s="754"/>
      <c r="F29" s="754"/>
      <c r="G29" s="770"/>
      <c r="H29" s="698">
        <v>453</v>
      </c>
      <c r="I29" s="638"/>
      <c r="J29" s="639"/>
      <c r="K29" s="640"/>
      <c r="L29" s="639"/>
      <c r="M29" s="564"/>
      <c r="N29" s="576">
        <f>'Исход дан'!D$11</f>
        <v>943.6</v>
      </c>
      <c r="O29" s="695">
        <f t="shared" si="0"/>
        <v>0.04</v>
      </c>
    </row>
    <row r="30" spans="1:15" s="21" customFormat="1" ht="15.75" customHeight="1">
      <c r="A30" s="121" t="s">
        <v>96</v>
      </c>
      <c r="B30" s="624" t="s">
        <v>399</v>
      </c>
      <c r="C30" s="592" t="s">
        <v>470</v>
      </c>
      <c r="D30" s="576" t="s">
        <v>398</v>
      </c>
      <c r="E30" s="752">
        <v>0.29</v>
      </c>
      <c r="F30" s="752">
        <f>'Исход дан'!D11</f>
        <v>943.6</v>
      </c>
      <c r="G30" s="760">
        <v>1</v>
      </c>
      <c r="H30" s="698">
        <f>E30*F30*G30*12</f>
        <v>3283.728</v>
      </c>
      <c r="I30" s="641"/>
      <c r="J30" s="642"/>
      <c r="K30" s="643"/>
      <c r="L30" s="642"/>
      <c r="M30" s="644"/>
      <c r="N30" s="576">
        <f>'Исход дан'!D$11</f>
        <v>943.6</v>
      </c>
      <c r="O30" s="773">
        <f t="shared" si="0"/>
        <v>0.29</v>
      </c>
    </row>
    <row r="31" spans="1:15" s="21" customFormat="1" ht="35.25" customHeight="1">
      <c r="A31" s="124" t="s">
        <v>159</v>
      </c>
      <c r="B31" s="624" t="s">
        <v>408</v>
      </c>
      <c r="C31" s="625" t="s">
        <v>471</v>
      </c>
      <c r="D31" s="576" t="s">
        <v>398</v>
      </c>
      <c r="E31" s="771"/>
      <c r="F31" s="771">
        <f>'Исход дан'!D11</f>
        <v>943.6</v>
      </c>
      <c r="G31" s="772"/>
      <c r="H31" s="698">
        <v>21740.5</v>
      </c>
      <c r="I31" s="641"/>
      <c r="J31" s="642"/>
      <c r="K31" s="643"/>
      <c r="L31" s="642"/>
      <c r="M31" s="644"/>
      <c r="N31" s="576">
        <f>'Исход дан'!D$11</f>
        <v>943.6</v>
      </c>
      <c r="O31" s="695">
        <f t="shared" si="0"/>
        <v>1.92</v>
      </c>
    </row>
    <row r="32" spans="1:15" s="21" customFormat="1" ht="27" customHeight="1">
      <c r="A32" s="428" t="s">
        <v>160</v>
      </c>
      <c r="B32" s="619" t="s">
        <v>409</v>
      </c>
      <c r="C32" s="645" t="s">
        <v>472</v>
      </c>
      <c r="D32" s="577" t="s">
        <v>398</v>
      </c>
      <c r="E32" s="764"/>
      <c r="F32" s="764">
        <f>'Исход дан'!D11</f>
        <v>943.6</v>
      </c>
      <c r="G32" s="765"/>
      <c r="H32" s="698">
        <v>2378</v>
      </c>
      <c r="I32" s="646"/>
      <c r="J32" s="647"/>
      <c r="K32" s="648"/>
      <c r="L32" s="647"/>
      <c r="M32" s="649"/>
      <c r="N32" s="576">
        <f>'Исход дан'!D$11</f>
        <v>943.6</v>
      </c>
      <c r="O32" s="773">
        <f t="shared" si="0"/>
        <v>0.21</v>
      </c>
    </row>
    <row r="33" spans="1:15" s="21" customFormat="1" ht="15.75" customHeight="1" thickBot="1">
      <c r="A33" s="249" t="s">
        <v>314</v>
      </c>
      <c r="B33" s="423" t="s">
        <v>475</v>
      </c>
      <c r="C33" s="855" t="s">
        <v>196</v>
      </c>
      <c r="D33" s="577" t="s">
        <v>398</v>
      </c>
      <c r="E33" s="628"/>
      <c r="F33" s="628"/>
      <c r="G33" s="767"/>
      <c r="H33" s="877">
        <v>0</v>
      </c>
      <c r="I33" s="646"/>
      <c r="J33" s="647"/>
      <c r="K33" s="648"/>
      <c r="L33" s="647"/>
      <c r="M33" s="649"/>
      <c r="N33" s="577">
        <f>'Исход дан'!D$11</f>
        <v>943.6</v>
      </c>
      <c r="O33" s="699">
        <f t="shared" si="0"/>
        <v>0</v>
      </c>
    </row>
    <row r="34" spans="1:16" s="5" customFormat="1" ht="30" customHeight="1" thickBot="1">
      <c r="A34" s="365" t="s">
        <v>315</v>
      </c>
      <c r="B34" s="650" t="s">
        <v>189</v>
      </c>
      <c r="C34" s="651"/>
      <c r="D34" s="651" t="s">
        <v>56</v>
      </c>
      <c r="E34" s="651"/>
      <c r="F34" s="651"/>
      <c r="G34" s="652"/>
      <c r="H34" s="656">
        <f>H11+H17+H23+H27+H28+H29+H30+H31+H32+H33</f>
        <v>105645.4128451177</v>
      </c>
      <c r="I34" s="653"/>
      <c r="J34" s="654"/>
      <c r="K34" s="654"/>
      <c r="L34" s="654"/>
      <c r="M34" s="655"/>
      <c r="N34" s="631">
        <f>'Исход дан'!D$11</f>
        <v>943.6</v>
      </c>
      <c r="O34" s="850">
        <f>ROUND(H34/N34/12,2)</f>
        <v>9.33</v>
      </c>
      <c r="P34" s="368"/>
    </row>
    <row r="35" spans="1:15" s="1" customFormat="1" ht="33.75" hidden="1">
      <c r="A35" s="124" t="s">
        <v>341</v>
      </c>
      <c r="B35" s="657" t="s">
        <v>176</v>
      </c>
      <c r="C35" s="605"/>
      <c r="D35" s="604"/>
      <c r="E35" s="605"/>
      <c r="F35" s="605"/>
      <c r="G35" s="605"/>
      <c r="H35" s="612"/>
      <c r="I35" s="658"/>
      <c r="J35" s="659"/>
      <c r="K35" s="660"/>
      <c r="L35" s="661"/>
      <c r="M35" s="662"/>
      <c r="N35" s="663"/>
      <c r="O35" s="664"/>
    </row>
    <row r="36" spans="1:15" s="5" customFormat="1" ht="33" hidden="1" thickBot="1">
      <c r="A36" s="121" t="s">
        <v>342</v>
      </c>
      <c r="B36" s="665" t="s">
        <v>177</v>
      </c>
      <c r="C36" s="666"/>
      <c r="D36" s="667"/>
      <c r="E36" s="668"/>
      <c r="F36" s="669"/>
      <c r="G36" s="669"/>
      <c r="H36" s="670"/>
      <c r="I36" s="671"/>
      <c r="J36" s="672"/>
      <c r="K36" s="673"/>
      <c r="L36" s="672"/>
      <c r="M36" s="674"/>
      <c r="N36" s="675"/>
      <c r="O36" s="676"/>
    </row>
    <row r="37" spans="2:15" ht="12.75">
      <c r="B37" s="677"/>
      <c r="C37" s="678"/>
      <c r="D37" s="678"/>
      <c r="E37" s="678"/>
      <c r="F37" s="678"/>
      <c r="G37" s="678"/>
      <c r="H37" s="678"/>
      <c r="I37" s="678"/>
      <c r="J37" s="679"/>
      <c r="K37" s="678"/>
      <c r="L37" s="679"/>
      <c r="M37" s="677"/>
      <c r="N37" s="678"/>
      <c r="O37" s="678"/>
    </row>
    <row r="38" spans="2:15" ht="12.75">
      <c r="B38" s="677"/>
      <c r="C38" s="678"/>
      <c r="D38" s="678"/>
      <c r="E38" s="678"/>
      <c r="F38" s="678"/>
      <c r="G38" s="678"/>
      <c r="H38" s="853"/>
      <c r="I38" s="678"/>
      <c r="J38" s="679"/>
      <c r="K38" s="678"/>
      <c r="L38" s="679"/>
      <c r="M38" s="677"/>
      <c r="N38" s="678"/>
      <c r="O38" s="853"/>
    </row>
    <row r="39" spans="2:15" ht="12.75">
      <c r="B39" s="677"/>
      <c r="C39" s="678"/>
      <c r="D39" s="678"/>
      <c r="E39" s="678"/>
      <c r="F39" s="678"/>
      <c r="G39" s="678"/>
      <c r="H39" s="678"/>
      <c r="I39" s="678"/>
      <c r="J39" s="679"/>
      <c r="K39" s="678"/>
      <c r="L39" s="679"/>
      <c r="M39" s="677"/>
      <c r="N39" s="678"/>
      <c r="O39" s="678"/>
    </row>
    <row r="40" ht="12.75">
      <c r="H40" s="876"/>
    </row>
  </sheetData>
  <sheetProtection/>
  <mergeCells count="3">
    <mergeCell ref="O3:O4"/>
    <mergeCell ref="I3:L3"/>
    <mergeCell ref="B1:O1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85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77"/>
  <sheetViews>
    <sheetView view="pageBreakPreview" zoomScaleSheetLayoutView="100" zoomScalePageLayoutView="0" workbookViewId="0" topLeftCell="A55">
      <selection activeCell="F73" sqref="F73"/>
    </sheetView>
  </sheetViews>
  <sheetFormatPr defaultColWidth="9.00390625" defaultRowHeight="12.75"/>
  <cols>
    <col min="1" max="1" width="6.25390625" style="113" customWidth="1"/>
    <col min="2" max="2" width="47.00390625" style="31" customWidth="1"/>
    <col min="3" max="3" width="25.625" style="256" customWidth="1"/>
    <col min="4" max="4" width="17.125" style="256" customWidth="1"/>
    <col min="5" max="5" width="29.00390625" style="256" customWidth="1"/>
    <col min="6" max="6" width="11.25390625" style="31" bestFit="1" customWidth="1"/>
    <col min="7" max="16384" width="9.125" style="31" customWidth="1"/>
  </cols>
  <sheetData>
    <row r="1" spans="1:5" ht="19.5" customHeight="1" thickBot="1">
      <c r="A1" s="963" t="s">
        <v>764</v>
      </c>
      <c r="B1" s="963"/>
      <c r="C1" s="963"/>
      <c r="D1" s="963"/>
      <c r="E1" s="963"/>
    </row>
    <row r="2" spans="1:5" ht="24.75" customHeight="1">
      <c r="A2" s="844" t="s">
        <v>197</v>
      </c>
      <c r="B2" s="845" t="s">
        <v>198</v>
      </c>
      <c r="C2" s="845" t="s">
        <v>199</v>
      </c>
      <c r="D2" s="845" t="s">
        <v>484</v>
      </c>
      <c r="E2" s="846" t="s">
        <v>483</v>
      </c>
    </row>
    <row r="3" spans="1:5" ht="13.5" customHeight="1">
      <c r="A3" s="778"/>
      <c r="B3" s="777" t="s">
        <v>262</v>
      </c>
      <c r="C3" s="776"/>
      <c r="D3" s="776"/>
      <c r="E3" s="779">
        <f>'Исход дан'!D11</f>
        <v>943.6</v>
      </c>
    </row>
    <row r="4" spans="1:5" ht="10.5" customHeight="1">
      <c r="A4" s="964" t="s">
        <v>344</v>
      </c>
      <c r="B4" s="965"/>
      <c r="C4" s="965"/>
      <c r="D4" s="965"/>
      <c r="E4" s="966"/>
    </row>
    <row r="5" spans="1:7" s="260" customFormat="1" ht="10.5" customHeight="1">
      <c r="A5" s="858" t="s">
        <v>200</v>
      </c>
      <c r="B5" s="859" t="s">
        <v>201</v>
      </c>
      <c r="C5" s="860"/>
      <c r="D5" s="861">
        <v>7114.71</v>
      </c>
      <c r="E5" s="862">
        <f>ROUND(D5/E$3/12,2)</f>
        <v>0.63</v>
      </c>
      <c r="G5" s="342"/>
    </row>
    <row r="6" spans="1:7" ht="24" customHeight="1">
      <c r="A6" s="858" t="s">
        <v>202</v>
      </c>
      <c r="B6" s="859" t="s">
        <v>765</v>
      </c>
      <c r="C6" s="860" t="s">
        <v>203</v>
      </c>
      <c r="D6" s="861"/>
      <c r="E6" s="864"/>
      <c r="F6" s="260"/>
      <c r="G6" s="260"/>
    </row>
    <row r="7" spans="1:7" ht="23.25" customHeight="1">
      <c r="A7" s="858" t="s">
        <v>350</v>
      </c>
      <c r="B7" s="859" t="s">
        <v>766</v>
      </c>
      <c r="C7" s="860" t="s">
        <v>210</v>
      </c>
      <c r="D7" s="861"/>
      <c r="E7" s="864"/>
      <c r="F7" s="260"/>
      <c r="G7" s="260"/>
    </row>
    <row r="8" spans="1:7" ht="11.25" customHeight="1">
      <c r="A8" s="858" t="s">
        <v>351</v>
      </c>
      <c r="B8" s="863" t="s">
        <v>264</v>
      </c>
      <c r="C8" s="860" t="s">
        <v>206</v>
      </c>
      <c r="D8" s="861"/>
      <c r="E8" s="864"/>
      <c r="F8" s="260"/>
      <c r="G8" s="260"/>
    </row>
    <row r="9" spans="1:7" ht="10.5" customHeight="1">
      <c r="A9" s="858" t="s">
        <v>352</v>
      </c>
      <c r="B9" s="859" t="s">
        <v>205</v>
      </c>
      <c r="C9" s="860" t="s">
        <v>206</v>
      </c>
      <c r="D9" s="861"/>
      <c r="E9" s="864"/>
      <c r="F9" s="260"/>
      <c r="G9" s="260"/>
    </row>
    <row r="10" spans="1:7" ht="11.25" customHeight="1">
      <c r="A10" s="858" t="s">
        <v>353</v>
      </c>
      <c r="B10" s="859" t="s">
        <v>207</v>
      </c>
      <c r="C10" s="860" t="s">
        <v>206</v>
      </c>
      <c r="D10" s="861"/>
      <c r="E10" s="864"/>
      <c r="F10" s="260"/>
      <c r="G10" s="260"/>
    </row>
    <row r="11" spans="1:7" ht="36" customHeight="1">
      <c r="A11" s="858" t="s">
        <v>354</v>
      </c>
      <c r="B11" s="859" t="s">
        <v>208</v>
      </c>
      <c r="C11" s="860" t="s">
        <v>204</v>
      </c>
      <c r="D11" s="861"/>
      <c r="E11" s="864"/>
      <c r="F11" s="260"/>
      <c r="G11" s="260"/>
    </row>
    <row r="12" spans="1:7" ht="23.25" customHeight="1">
      <c r="A12" s="858" t="s">
        <v>767</v>
      </c>
      <c r="B12" s="859" t="s">
        <v>209</v>
      </c>
      <c r="C12" s="860" t="s">
        <v>210</v>
      </c>
      <c r="D12" s="861"/>
      <c r="E12" s="864"/>
      <c r="F12" s="260"/>
      <c r="G12" s="260"/>
    </row>
    <row r="13" spans="1:7" ht="13.5" customHeight="1">
      <c r="A13" s="945" t="s">
        <v>481</v>
      </c>
      <c r="B13" s="946"/>
      <c r="C13" s="946"/>
      <c r="D13" s="946"/>
      <c r="E13" s="947"/>
      <c r="F13" s="260"/>
      <c r="G13" s="260"/>
    </row>
    <row r="14" spans="1:7" s="260" customFormat="1" ht="14.25">
      <c r="A14" s="858" t="s">
        <v>355</v>
      </c>
      <c r="B14" s="859" t="s">
        <v>211</v>
      </c>
      <c r="C14" s="860"/>
      <c r="D14" s="861">
        <v>19727.74</v>
      </c>
      <c r="E14" s="864">
        <f>ROUND(D14/E$3/12,2)</f>
        <v>1.74</v>
      </c>
      <c r="F14" s="353"/>
      <c r="G14" s="342"/>
    </row>
    <row r="15" spans="1:7" s="259" customFormat="1" ht="12" customHeight="1">
      <c r="A15" s="858" t="s">
        <v>66</v>
      </c>
      <c r="B15" s="892" t="s">
        <v>212</v>
      </c>
      <c r="C15" s="860"/>
      <c r="D15" s="861"/>
      <c r="E15" s="862"/>
      <c r="F15" s="260"/>
      <c r="G15" s="260"/>
    </row>
    <row r="16" spans="1:7" ht="28.5" customHeight="1">
      <c r="A16" s="858" t="s">
        <v>213</v>
      </c>
      <c r="B16" s="859" t="s">
        <v>214</v>
      </c>
      <c r="C16" s="860" t="s">
        <v>215</v>
      </c>
      <c r="D16" s="875"/>
      <c r="E16" s="859"/>
      <c r="F16" s="260"/>
      <c r="G16" s="260"/>
    </row>
    <row r="17" spans="1:7" ht="22.5" customHeight="1">
      <c r="A17" s="858" t="s">
        <v>216</v>
      </c>
      <c r="B17" s="859" t="s">
        <v>217</v>
      </c>
      <c r="C17" s="860" t="s">
        <v>218</v>
      </c>
      <c r="D17" s="875"/>
      <c r="E17" s="859"/>
      <c r="F17" s="260"/>
      <c r="G17" s="260"/>
    </row>
    <row r="18" spans="1:7" ht="24">
      <c r="A18" s="858" t="s">
        <v>219</v>
      </c>
      <c r="B18" s="859" t="s">
        <v>220</v>
      </c>
      <c r="C18" s="890" t="s">
        <v>221</v>
      </c>
      <c r="D18" s="875"/>
      <c r="E18" s="859"/>
      <c r="F18" s="260"/>
      <c r="G18" s="260"/>
    </row>
    <row r="19" spans="1:7" ht="34.5" customHeight="1">
      <c r="A19" s="858" t="s">
        <v>222</v>
      </c>
      <c r="B19" s="859" t="s">
        <v>223</v>
      </c>
      <c r="C19" s="860" t="s">
        <v>263</v>
      </c>
      <c r="D19" s="875"/>
      <c r="E19" s="859"/>
      <c r="F19" s="260"/>
      <c r="G19" s="260"/>
    </row>
    <row r="20" spans="1:7" ht="24">
      <c r="A20" s="858" t="s">
        <v>224</v>
      </c>
      <c r="B20" s="859" t="s">
        <v>225</v>
      </c>
      <c r="C20" s="860" t="s">
        <v>226</v>
      </c>
      <c r="D20" s="875"/>
      <c r="E20" s="859"/>
      <c r="F20" s="260"/>
      <c r="G20" s="260"/>
    </row>
    <row r="21" spans="1:7" ht="12" customHeight="1">
      <c r="A21" s="858" t="s">
        <v>227</v>
      </c>
      <c r="B21" s="859" t="s">
        <v>228</v>
      </c>
      <c r="C21" s="860" t="s">
        <v>229</v>
      </c>
      <c r="D21" s="875"/>
      <c r="E21" s="859"/>
      <c r="F21" s="260"/>
      <c r="G21" s="260"/>
    </row>
    <row r="22" spans="1:7" ht="14.25">
      <c r="A22" s="858" t="s">
        <v>758</v>
      </c>
      <c r="B22" s="859" t="s">
        <v>231</v>
      </c>
      <c r="C22" s="860" t="s">
        <v>203</v>
      </c>
      <c r="D22" s="861"/>
      <c r="E22" s="862"/>
      <c r="F22" s="260"/>
      <c r="G22" s="260"/>
    </row>
    <row r="23" spans="1:7" s="259" customFormat="1" ht="11.25" customHeight="1">
      <c r="A23" s="858" t="s">
        <v>67</v>
      </c>
      <c r="B23" s="892" t="s">
        <v>232</v>
      </c>
      <c r="C23" s="860"/>
      <c r="D23" s="861"/>
      <c r="E23" s="862"/>
      <c r="F23" s="260"/>
      <c r="G23" s="260"/>
    </row>
    <row r="24" spans="1:7" ht="24">
      <c r="A24" s="858" t="s">
        <v>501</v>
      </c>
      <c r="B24" s="859" t="s">
        <v>233</v>
      </c>
      <c r="C24" s="860" t="s">
        <v>230</v>
      </c>
      <c r="D24" s="875"/>
      <c r="E24" s="859"/>
      <c r="F24" s="260"/>
      <c r="G24" s="260"/>
    </row>
    <row r="25" spans="1:7" ht="24">
      <c r="A25" s="858" t="s">
        <v>234</v>
      </c>
      <c r="B25" s="859" t="s">
        <v>235</v>
      </c>
      <c r="C25" s="860" t="s">
        <v>236</v>
      </c>
      <c r="D25" s="861"/>
      <c r="E25" s="860"/>
      <c r="F25" s="260"/>
      <c r="G25" s="260"/>
    </row>
    <row r="26" spans="1:7" ht="21.75" customHeight="1">
      <c r="A26" s="858" t="s">
        <v>237</v>
      </c>
      <c r="B26" s="859" t="s">
        <v>238</v>
      </c>
      <c r="C26" s="860" t="s">
        <v>239</v>
      </c>
      <c r="D26" s="875"/>
      <c r="E26" s="859"/>
      <c r="F26" s="260"/>
      <c r="G26" s="260"/>
    </row>
    <row r="27" spans="1:7" ht="15" customHeight="1">
      <c r="A27" s="858" t="s">
        <v>757</v>
      </c>
      <c r="B27" s="859" t="s">
        <v>732</v>
      </c>
      <c r="C27" s="860" t="s">
        <v>241</v>
      </c>
      <c r="D27" s="861"/>
      <c r="E27" s="862"/>
      <c r="F27" s="260"/>
      <c r="G27" s="260"/>
    </row>
    <row r="28" spans="1:7" ht="11.25" customHeight="1">
      <c r="A28" s="858" t="s">
        <v>240</v>
      </c>
      <c r="B28" s="859" t="s">
        <v>231</v>
      </c>
      <c r="C28" s="860" t="s">
        <v>203</v>
      </c>
      <c r="D28" s="861"/>
      <c r="E28" s="862"/>
      <c r="F28" s="260"/>
      <c r="G28" s="260"/>
    </row>
    <row r="29" spans="1:7" s="261" customFormat="1" ht="12.75" customHeight="1">
      <c r="A29" s="858" t="s">
        <v>68</v>
      </c>
      <c r="B29" s="865" t="s">
        <v>382</v>
      </c>
      <c r="C29" s="860" t="s">
        <v>244</v>
      </c>
      <c r="D29" s="861">
        <v>3006.28</v>
      </c>
      <c r="E29" s="864">
        <f>ROUND(D29/E$3/12,2)</f>
        <v>0.27</v>
      </c>
      <c r="F29" s="260"/>
      <c r="G29" s="342"/>
    </row>
    <row r="30" spans="1:7" s="261" customFormat="1" ht="12" customHeight="1">
      <c r="A30" s="858" t="s">
        <v>502</v>
      </c>
      <c r="B30" s="865" t="s">
        <v>477</v>
      </c>
      <c r="C30" s="860" t="s">
        <v>244</v>
      </c>
      <c r="D30" s="861">
        <v>1924.04</v>
      </c>
      <c r="E30" s="862">
        <f>D30/E$3/12</f>
        <v>0.16992016391126183</v>
      </c>
      <c r="F30" s="260"/>
      <c r="G30" s="342"/>
    </row>
    <row r="31" spans="1:7" s="261" customFormat="1" ht="14.25" customHeight="1">
      <c r="A31" s="945" t="s">
        <v>345</v>
      </c>
      <c r="B31" s="946"/>
      <c r="C31" s="946"/>
      <c r="D31" s="946"/>
      <c r="E31" s="947"/>
      <c r="F31" s="260"/>
      <c r="G31" s="342"/>
    </row>
    <row r="32" spans="1:7" ht="25.5" customHeight="1">
      <c r="A32" s="858" t="s">
        <v>69</v>
      </c>
      <c r="B32" s="859" t="s">
        <v>260</v>
      </c>
      <c r="C32" s="860" t="s">
        <v>243</v>
      </c>
      <c r="D32" s="861">
        <v>1461.09</v>
      </c>
      <c r="E32" s="862">
        <f aca="true" t="shared" si="0" ref="E32:E40">ROUND(D32/E$3/12,2)</f>
        <v>0.13</v>
      </c>
      <c r="F32" s="260"/>
      <c r="G32" s="342"/>
    </row>
    <row r="33" spans="1:7" ht="12.75" customHeight="1">
      <c r="A33" s="858" t="s">
        <v>70</v>
      </c>
      <c r="B33" s="859" t="s">
        <v>246</v>
      </c>
      <c r="C33" s="860" t="s">
        <v>243</v>
      </c>
      <c r="D33" s="861">
        <v>0</v>
      </c>
      <c r="E33" s="862">
        <v>0</v>
      </c>
      <c r="F33" s="260"/>
      <c r="G33" s="342"/>
    </row>
    <row r="34" spans="1:7" ht="14.25" customHeight="1">
      <c r="A34" s="858" t="s">
        <v>71</v>
      </c>
      <c r="B34" s="859" t="s">
        <v>479</v>
      </c>
      <c r="C34" s="860" t="s">
        <v>243</v>
      </c>
      <c r="D34" s="861">
        <f>профраб!I13</f>
        <v>0</v>
      </c>
      <c r="E34" s="862">
        <f t="shared" si="0"/>
        <v>0</v>
      </c>
      <c r="F34" s="260"/>
      <c r="G34" s="342"/>
    </row>
    <row r="35" spans="1:7" ht="24.75" customHeight="1">
      <c r="A35" s="858" t="s">
        <v>356</v>
      </c>
      <c r="B35" s="859" t="s">
        <v>259</v>
      </c>
      <c r="C35" s="860" t="s">
        <v>243</v>
      </c>
      <c r="D35" s="861">
        <v>2042.46</v>
      </c>
      <c r="E35" s="862">
        <f t="shared" si="0"/>
        <v>0.18</v>
      </c>
      <c r="F35" s="260"/>
      <c r="G35" s="342"/>
    </row>
    <row r="36" spans="1:7" ht="24" customHeight="1">
      <c r="A36" s="858" t="s">
        <v>357</v>
      </c>
      <c r="B36" s="859" t="s">
        <v>256</v>
      </c>
      <c r="C36" s="860" t="s">
        <v>243</v>
      </c>
      <c r="D36" s="861">
        <v>4572.22</v>
      </c>
      <c r="E36" s="862">
        <f t="shared" si="0"/>
        <v>0.4</v>
      </c>
      <c r="F36" s="260"/>
      <c r="G36" s="342"/>
    </row>
    <row r="37" spans="1:7" ht="22.5" customHeight="1">
      <c r="A37" s="858" t="s">
        <v>358</v>
      </c>
      <c r="B37" s="859" t="s">
        <v>257</v>
      </c>
      <c r="C37" s="860" t="s">
        <v>243</v>
      </c>
      <c r="D37" s="861">
        <v>5630.48</v>
      </c>
      <c r="E37" s="864">
        <f t="shared" si="0"/>
        <v>0.5</v>
      </c>
      <c r="F37" s="260"/>
      <c r="G37" s="342"/>
    </row>
    <row r="38" spans="1:7" ht="12" customHeight="1">
      <c r="A38" s="858" t="s">
        <v>503</v>
      </c>
      <c r="B38" s="859" t="s">
        <v>247</v>
      </c>
      <c r="C38" s="860" t="s">
        <v>243</v>
      </c>
      <c r="D38" s="861">
        <v>1240.92</v>
      </c>
      <c r="E38" s="862">
        <f t="shared" si="0"/>
        <v>0.11</v>
      </c>
      <c r="F38" s="260"/>
      <c r="G38" s="342"/>
    </row>
    <row r="39" spans="1:7" s="261" customFormat="1" ht="13.5" customHeight="1">
      <c r="A39" s="945" t="s">
        <v>346</v>
      </c>
      <c r="B39" s="946"/>
      <c r="C39" s="946"/>
      <c r="D39" s="946"/>
      <c r="E39" s="947"/>
      <c r="F39" s="260"/>
      <c r="G39" s="342"/>
    </row>
    <row r="40" spans="1:7" s="260" customFormat="1" ht="14.25" customHeight="1">
      <c r="A40" s="858" t="s">
        <v>359</v>
      </c>
      <c r="B40" s="859" t="s">
        <v>242</v>
      </c>
      <c r="C40" s="860" t="s">
        <v>768</v>
      </c>
      <c r="D40" s="861">
        <v>1322.83</v>
      </c>
      <c r="E40" s="864">
        <f t="shared" si="0"/>
        <v>0.12</v>
      </c>
      <c r="G40" s="342"/>
    </row>
    <row r="41" spans="1:7" s="260" customFormat="1" ht="12" customHeight="1">
      <c r="A41" s="858" t="s">
        <v>360</v>
      </c>
      <c r="B41" s="859" t="s">
        <v>193</v>
      </c>
      <c r="C41" s="860" t="s">
        <v>527</v>
      </c>
      <c r="D41" s="861">
        <v>841.74</v>
      </c>
      <c r="E41" s="866">
        <f>D41/E$3/12</f>
        <v>0.07433764306909707</v>
      </c>
      <c r="G41" s="342"/>
    </row>
    <row r="42" spans="1:7" s="260" customFormat="1" ht="14.25">
      <c r="A42" s="858" t="s">
        <v>361</v>
      </c>
      <c r="B42" s="859" t="s">
        <v>478</v>
      </c>
      <c r="C42" s="860" t="s">
        <v>244</v>
      </c>
      <c r="D42" s="861">
        <v>3126.56</v>
      </c>
      <c r="E42" s="862">
        <f>D42/E$3/12</f>
        <v>0.2761198247845132</v>
      </c>
      <c r="G42" s="342"/>
    </row>
    <row r="43" spans="1:7" s="260" customFormat="1" ht="12.75" customHeight="1">
      <c r="A43" s="858" t="s">
        <v>504</v>
      </c>
      <c r="B43" s="865" t="s">
        <v>474</v>
      </c>
      <c r="C43" s="860" t="s">
        <v>244</v>
      </c>
      <c r="D43" s="861">
        <v>1443.02</v>
      </c>
      <c r="E43" s="862">
        <f>D43/E$3/12</f>
        <v>0.12743923979087182</v>
      </c>
      <c r="G43" s="342"/>
    </row>
    <row r="44" spans="1:7" s="39" customFormat="1" ht="11.25" customHeight="1">
      <c r="A44" s="858" t="s">
        <v>362</v>
      </c>
      <c r="B44" s="870" t="s">
        <v>255</v>
      </c>
      <c r="C44" s="867"/>
      <c r="D44" s="868"/>
      <c r="E44" s="869"/>
      <c r="F44" s="352"/>
      <c r="G44" s="351"/>
    </row>
    <row r="45" spans="1:7" ht="24">
      <c r="A45" s="858" t="s">
        <v>348</v>
      </c>
      <c r="B45" s="859" t="s">
        <v>251</v>
      </c>
      <c r="C45" s="860" t="s">
        <v>320</v>
      </c>
      <c r="D45" s="861">
        <v>19.43</v>
      </c>
      <c r="E45" s="864">
        <v>0.009</v>
      </c>
      <c r="F45" s="260"/>
      <c r="G45" s="342"/>
    </row>
    <row r="46" spans="1:7" ht="36">
      <c r="A46" s="858" t="s">
        <v>363</v>
      </c>
      <c r="B46" s="859" t="s">
        <v>343</v>
      </c>
      <c r="C46" s="860" t="s">
        <v>245</v>
      </c>
      <c r="D46" s="861">
        <v>30.28</v>
      </c>
      <c r="E46" s="864">
        <f aca="true" t="shared" si="1" ref="E46:E56">ROUND(D46/E$3/12,2)</f>
        <v>0</v>
      </c>
      <c r="F46" s="260"/>
      <c r="G46" s="342"/>
    </row>
    <row r="47" spans="1:7" ht="24">
      <c r="A47" s="858" t="s">
        <v>364</v>
      </c>
      <c r="B47" s="859" t="s">
        <v>253</v>
      </c>
      <c r="C47" s="860" t="s">
        <v>170</v>
      </c>
      <c r="D47" s="861">
        <v>170.33</v>
      </c>
      <c r="E47" s="862">
        <f t="shared" si="1"/>
        <v>0.02</v>
      </c>
      <c r="F47" s="260"/>
      <c r="G47" s="342"/>
    </row>
    <row r="48" spans="1:7" ht="36">
      <c r="A48" s="858" t="s">
        <v>365</v>
      </c>
      <c r="B48" s="859" t="s">
        <v>252</v>
      </c>
      <c r="C48" s="860" t="s">
        <v>245</v>
      </c>
      <c r="D48" s="861">
        <f>профраб!I35</f>
        <v>0</v>
      </c>
      <c r="E48" s="862">
        <f t="shared" si="1"/>
        <v>0</v>
      </c>
      <c r="F48" s="260"/>
      <c r="G48" s="342"/>
    </row>
    <row r="49" spans="1:7" ht="24">
      <c r="A49" s="858" t="s">
        <v>366</v>
      </c>
      <c r="B49" s="859" t="s">
        <v>254</v>
      </c>
      <c r="C49" s="860" t="s">
        <v>170</v>
      </c>
      <c r="D49" s="861">
        <v>20.19</v>
      </c>
      <c r="E49" s="862">
        <f t="shared" si="1"/>
        <v>0</v>
      </c>
      <c r="F49" s="260"/>
      <c r="G49" s="342"/>
    </row>
    <row r="50" spans="1:7" s="39" customFormat="1" ht="11.25" customHeight="1">
      <c r="A50" s="858" t="s">
        <v>367</v>
      </c>
      <c r="B50" s="870" t="s">
        <v>349</v>
      </c>
      <c r="C50" s="871"/>
      <c r="D50" s="868"/>
      <c r="E50" s="891"/>
      <c r="G50" s="351"/>
    </row>
    <row r="51" spans="1:7" s="39" customFormat="1" ht="21.75" customHeight="1">
      <c r="A51" s="858" t="s">
        <v>372</v>
      </c>
      <c r="B51" s="859" t="str">
        <f>'[1]Проф раб'!C7</f>
        <v>Очистка техэтажей от мусора со сбором его в тару и отноской в установленное место</v>
      </c>
      <c r="C51" s="860" t="s">
        <v>243</v>
      </c>
      <c r="D51" s="861">
        <v>4.38</v>
      </c>
      <c r="E51" s="864">
        <f t="shared" si="1"/>
        <v>0</v>
      </c>
      <c r="G51" s="351"/>
    </row>
    <row r="52" spans="1:7" ht="11.25" customHeight="1">
      <c r="A52" s="858" t="s">
        <v>505</v>
      </c>
      <c r="B52" s="859" t="s">
        <v>166</v>
      </c>
      <c r="C52" s="860" t="s">
        <v>243</v>
      </c>
      <c r="D52" s="861">
        <f>профраб!I8</f>
        <v>0</v>
      </c>
      <c r="E52" s="864">
        <f t="shared" si="1"/>
        <v>0</v>
      </c>
      <c r="F52" s="260"/>
      <c r="G52" s="342"/>
    </row>
    <row r="53" spans="1:7" ht="10.5" customHeight="1">
      <c r="A53" s="858" t="s">
        <v>506</v>
      </c>
      <c r="B53" s="859" t="s">
        <v>167</v>
      </c>
      <c r="C53" s="860" t="s">
        <v>243</v>
      </c>
      <c r="D53" s="861">
        <v>616.21</v>
      </c>
      <c r="E53" s="862">
        <f t="shared" si="1"/>
        <v>0.05</v>
      </c>
      <c r="F53" s="260"/>
      <c r="G53" s="342"/>
    </row>
    <row r="54" spans="1:7" ht="12" customHeight="1">
      <c r="A54" s="858" t="s">
        <v>507</v>
      </c>
      <c r="B54" s="859" t="s">
        <v>114</v>
      </c>
      <c r="C54" s="860" t="s">
        <v>206</v>
      </c>
      <c r="D54" s="861">
        <v>548.84</v>
      </c>
      <c r="E54" s="862">
        <f t="shared" si="1"/>
        <v>0.05</v>
      </c>
      <c r="F54" s="260"/>
      <c r="G54" s="342"/>
    </row>
    <row r="55" spans="1:7" ht="12" customHeight="1">
      <c r="A55" s="858" t="s">
        <v>508</v>
      </c>
      <c r="B55" s="859" t="s">
        <v>119</v>
      </c>
      <c r="C55" s="860" t="s">
        <v>243</v>
      </c>
      <c r="D55" s="861">
        <f>профраб!I19</f>
        <v>0</v>
      </c>
      <c r="E55" s="862">
        <f t="shared" si="1"/>
        <v>0</v>
      </c>
      <c r="F55" s="260"/>
      <c r="G55" s="342"/>
    </row>
    <row r="56" spans="1:7" ht="11.25" customHeight="1">
      <c r="A56" s="858" t="s">
        <v>509</v>
      </c>
      <c r="B56" s="859" t="s">
        <v>258</v>
      </c>
      <c r="C56" s="860" t="s">
        <v>243</v>
      </c>
      <c r="D56" s="861">
        <v>511</v>
      </c>
      <c r="E56" s="862">
        <f t="shared" si="1"/>
        <v>0.05</v>
      </c>
      <c r="F56" s="260"/>
      <c r="G56" s="342"/>
    </row>
    <row r="57" spans="1:7" ht="25.5" customHeight="1">
      <c r="A57" s="951" t="s">
        <v>510</v>
      </c>
      <c r="B57" s="948" t="s">
        <v>763</v>
      </c>
      <c r="C57" s="954" t="s">
        <v>731</v>
      </c>
      <c r="D57" s="957">
        <v>16904.07</v>
      </c>
      <c r="E57" s="960">
        <f>D57/12/943.6</f>
        <v>1.4928703899957607</v>
      </c>
      <c r="F57" s="342"/>
      <c r="G57" s="342"/>
    </row>
    <row r="58" spans="1:7" ht="17.25" customHeight="1">
      <c r="A58" s="952"/>
      <c r="B58" s="949"/>
      <c r="C58" s="955"/>
      <c r="D58" s="958"/>
      <c r="E58" s="961"/>
      <c r="F58" s="260"/>
      <c r="G58" s="342"/>
    </row>
    <row r="59" spans="1:7" ht="6" customHeight="1">
      <c r="A59" s="953"/>
      <c r="B59" s="950"/>
      <c r="C59" s="956"/>
      <c r="D59" s="959"/>
      <c r="E59" s="962"/>
      <c r="F59" s="260"/>
      <c r="G59" s="342"/>
    </row>
    <row r="60" spans="1:7" s="261" customFormat="1" ht="11.25" customHeight="1">
      <c r="A60" s="945" t="s">
        <v>347</v>
      </c>
      <c r="B60" s="946"/>
      <c r="C60" s="946"/>
      <c r="D60" s="946"/>
      <c r="E60" s="947"/>
      <c r="F60" s="260"/>
      <c r="G60" s="342"/>
    </row>
    <row r="61" spans="1:7" s="260" customFormat="1" ht="14.25">
      <c r="A61" s="858" t="s">
        <v>368</v>
      </c>
      <c r="B61" s="859" t="s">
        <v>192</v>
      </c>
      <c r="C61" s="860" t="s">
        <v>244</v>
      </c>
      <c r="D61" s="861"/>
      <c r="E61" s="862">
        <f aca="true" t="shared" si="2" ref="E61:E67">ROUND(D61/E$3/12,2)</f>
        <v>0</v>
      </c>
      <c r="G61" s="342"/>
    </row>
    <row r="62" spans="1:7" s="260" customFormat="1" ht="14.25">
      <c r="A62" s="858" t="s">
        <v>490</v>
      </c>
      <c r="B62" s="859" t="s">
        <v>492</v>
      </c>
      <c r="C62" s="860" t="s">
        <v>244</v>
      </c>
      <c r="D62" s="861">
        <f>'ВСЕ раб'!H28</f>
        <v>0</v>
      </c>
      <c r="E62" s="862">
        <f t="shared" si="2"/>
        <v>0</v>
      </c>
      <c r="G62" s="342"/>
    </row>
    <row r="63" spans="1:7" s="261" customFormat="1" ht="22.5" customHeight="1">
      <c r="A63" s="858" t="s">
        <v>491</v>
      </c>
      <c r="B63" s="859" t="s">
        <v>371</v>
      </c>
      <c r="C63" s="860" t="s">
        <v>261</v>
      </c>
      <c r="D63" s="861">
        <v>10000</v>
      </c>
      <c r="E63" s="862">
        <f t="shared" si="2"/>
        <v>0.88</v>
      </c>
      <c r="F63" s="260"/>
      <c r="G63" s="342"/>
    </row>
    <row r="64" spans="1:7" s="261" customFormat="1" ht="11.25" customHeight="1">
      <c r="A64" s="858" t="s">
        <v>383</v>
      </c>
      <c r="B64" s="859" t="s">
        <v>482</v>
      </c>
      <c r="C64" s="860" t="s">
        <v>244</v>
      </c>
      <c r="D64" s="861">
        <v>3499.94</v>
      </c>
      <c r="E64" s="862">
        <f t="shared" si="2"/>
        <v>0.31</v>
      </c>
      <c r="F64" s="260"/>
      <c r="G64" s="342"/>
    </row>
    <row r="65" spans="1:7" s="261" customFormat="1" ht="12.75" customHeight="1">
      <c r="A65" s="872" t="s">
        <v>718</v>
      </c>
      <c r="B65" s="873" t="s">
        <v>408</v>
      </c>
      <c r="C65" s="860" t="s">
        <v>244</v>
      </c>
      <c r="D65" s="874">
        <v>23088.41</v>
      </c>
      <c r="E65" s="862">
        <f t="shared" si="2"/>
        <v>2.04</v>
      </c>
      <c r="F65" s="260"/>
      <c r="G65" s="342"/>
    </row>
    <row r="66" spans="1:7" s="261" customFormat="1" ht="12" customHeight="1">
      <c r="A66" s="872" t="s">
        <v>719</v>
      </c>
      <c r="B66" s="873" t="s">
        <v>409</v>
      </c>
      <c r="C66" s="860" t="s">
        <v>244</v>
      </c>
      <c r="D66" s="874">
        <v>2525.44</v>
      </c>
      <c r="E66" s="862">
        <f t="shared" si="2"/>
        <v>0.22</v>
      </c>
      <c r="F66" s="260"/>
      <c r="G66" s="342"/>
    </row>
    <row r="67" spans="1:7" s="261" customFormat="1" ht="12" customHeight="1">
      <c r="A67" s="872" t="s">
        <v>720</v>
      </c>
      <c r="B67" s="873" t="s">
        <v>475</v>
      </c>
      <c r="C67" s="860" t="s">
        <v>244</v>
      </c>
      <c r="D67" s="874">
        <f>'ВСЕ раб'!H33</f>
        <v>0</v>
      </c>
      <c r="E67" s="862">
        <f t="shared" si="2"/>
        <v>0</v>
      </c>
      <c r="F67" s="260"/>
      <c r="G67" s="342"/>
    </row>
    <row r="68" spans="1:7" ht="17.25" customHeight="1" thickBot="1">
      <c r="A68" s="851"/>
      <c r="B68" s="894" t="s">
        <v>248</v>
      </c>
      <c r="C68" s="852"/>
      <c r="D68" s="893">
        <f>D5+D14+D29+D30+D32+D35+D36+D37+D38+D40+D41+D42+D43+D45+D46+D47+D49+D51+D52+D53+D54+D56+D57+D61+D63+D64+D65+D66+D67</f>
        <v>111392.61</v>
      </c>
      <c r="E68" s="900">
        <f>D68/12/E3</f>
        <v>9.837555637982197</v>
      </c>
      <c r="F68" s="260"/>
      <c r="G68" s="342"/>
    </row>
    <row r="69" spans="1:5" ht="12.75">
      <c r="A69" s="257"/>
      <c r="B69" s="255"/>
      <c r="C69" s="254"/>
      <c r="D69" s="254"/>
      <c r="E69" s="857"/>
    </row>
    <row r="70" spans="1:5" ht="12.75">
      <c r="A70" s="258"/>
      <c r="E70" s="901" t="s">
        <v>769</v>
      </c>
    </row>
    <row r="71" spans="4:5" ht="12.75">
      <c r="D71" s="262"/>
      <c r="E71" s="902" t="s">
        <v>770</v>
      </c>
    </row>
    <row r="72" spans="2:5" ht="12.75">
      <c r="B72" s="944"/>
      <c r="C72" s="944"/>
      <c r="E72" s="262"/>
    </row>
    <row r="73" ht="12.75">
      <c r="E73" s="856"/>
    </row>
    <row r="77" ht="12.75">
      <c r="E77" s="856"/>
    </row>
  </sheetData>
  <sheetProtection/>
  <mergeCells count="12">
    <mergeCell ref="A1:E1"/>
    <mergeCell ref="A13:E13"/>
    <mergeCell ref="A4:E4"/>
    <mergeCell ref="B72:C72"/>
    <mergeCell ref="A31:E31"/>
    <mergeCell ref="A39:E39"/>
    <mergeCell ref="A60:E60"/>
    <mergeCell ref="B57:B59"/>
    <mergeCell ref="A57:A59"/>
    <mergeCell ref="C57:C59"/>
    <mergeCell ref="D57:D59"/>
    <mergeCell ref="E57:E59"/>
  </mergeCells>
  <printOptions/>
  <pageMargins left="0.7874015748031497" right="0.3937007874015748" top="0.11811023622047245" bottom="0" header="0.31496062992125984" footer="0.31496062992125984"/>
  <pageSetup horizontalDpi="600" verticalDpi="600" orientation="portrait" paperSize="9" scale="68" r:id="rId1"/>
  <rowBreaks count="1" manualBreakCount="1">
    <brk id="68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71"/>
  <sheetViews>
    <sheetView tabSelected="1" view="pageBreakPreview" zoomScaleNormal="105" zoomScaleSheetLayoutView="100" zoomScalePageLayoutView="0" workbookViewId="0" topLeftCell="A22">
      <selection activeCell="B69" sqref="B69"/>
    </sheetView>
  </sheetViews>
  <sheetFormatPr defaultColWidth="9.00390625" defaultRowHeight="12.75"/>
  <cols>
    <col min="1" max="1" width="2.875" style="0" customWidth="1"/>
    <col min="2" max="2" width="33.375" style="0" customWidth="1"/>
    <col min="3" max="4" width="8.375" style="0" customWidth="1"/>
    <col min="5" max="5" width="9.375" style="0" customWidth="1"/>
    <col min="6" max="6" width="9.125" style="967" customWidth="1"/>
    <col min="7" max="7" width="15.625" style="0" customWidth="1"/>
  </cols>
  <sheetData>
    <row r="1" spans="1:7" ht="12.75">
      <c r="A1" s="1029"/>
      <c r="B1" s="1035" t="s">
        <v>830</v>
      </c>
      <c r="C1" s="1033"/>
      <c r="D1" s="1033"/>
      <c r="E1" s="1033"/>
      <c r="F1" s="1034"/>
      <c r="G1" s="1033"/>
    </row>
    <row r="2" spans="1:7" ht="12.75">
      <c r="A2" s="1029"/>
      <c r="B2" s="1035" t="s">
        <v>829</v>
      </c>
      <c r="C2" s="1033"/>
      <c r="D2" s="1033"/>
      <c r="E2" s="1033"/>
      <c r="F2" s="1034"/>
      <c r="G2" s="1033"/>
    </row>
    <row r="3" spans="1:7" ht="12.75">
      <c r="A3" s="1029"/>
      <c r="B3" s="1038" t="s">
        <v>828</v>
      </c>
      <c r="C3" s="1038"/>
      <c r="D3" s="1038"/>
      <c r="E3" s="1038"/>
      <c r="F3" s="1038"/>
      <c r="G3" s="1038"/>
    </row>
    <row r="4" spans="1:7" s="338" customFormat="1" ht="12.75">
      <c r="A4" s="1037"/>
      <c r="B4" s="1032" t="s">
        <v>827</v>
      </c>
      <c r="C4" s="1032"/>
      <c r="D4" s="1032"/>
      <c r="E4" s="1032"/>
      <c r="F4" s="1036"/>
      <c r="G4" s="1032"/>
    </row>
    <row r="5" spans="1:7" ht="12.75">
      <c r="A5" s="1029"/>
      <c r="B5" s="1035" t="s">
        <v>826</v>
      </c>
      <c r="C5" s="1033"/>
      <c r="D5" s="1033"/>
      <c r="E5" s="1033"/>
      <c r="F5" s="1034"/>
      <c r="G5" s="1033"/>
    </row>
    <row r="6" spans="1:7" ht="12.75">
      <c r="A6" s="1029"/>
      <c r="B6" s="1032" t="s">
        <v>825</v>
      </c>
      <c r="C6" s="1030"/>
      <c r="D6" s="1030"/>
      <c r="E6" s="1030"/>
      <c r="F6" s="1031"/>
      <c r="G6" s="1030"/>
    </row>
    <row r="7" spans="1:7" ht="12.75">
      <c r="A7" s="1029"/>
      <c r="B7" s="1028"/>
      <c r="C7" s="1028"/>
      <c r="D7" s="1028"/>
      <c r="E7" s="1028"/>
      <c r="F7" s="1027"/>
      <c r="G7" s="1026" t="s">
        <v>824</v>
      </c>
    </row>
    <row r="8" spans="1:7" s="967" customFormat="1" ht="33.75" customHeight="1">
      <c r="A8" s="1023" t="s">
        <v>823</v>
      </c>
      <c r="B8" s="1023" t="s">
        <v>822</v>
      </c>
      <c r="C8" s="1025" t="s">
        <v>821</v>
      </c>
      <c r="D8" s="1025" t="s">
        <v>820</v>
      </c>
      <c r="E8" s="1023" t="s">
        <v>819</v>
      </c>
      <c r="F8" s="1023" t="s">
        <v>818</v>
      </c>
      <c r="G8" s="1024" t="s">
        <v>817</v>
      </c>
    </row>
    <row r="9" spans="1:7" ht="12.75">
      <c r="A9" s="1023" t="s">
        <v>816</v>
      </c>
      <c r="B9" s="1019" t="s">
        <v>815</v>
      </c>
      <c r="C9" s="1019">
        <v>9.84</v>
      </c>
      <c r="D9" s="1022">
        <v>10.87</v>
      </c>
      <c r="E9" s="1020"/>
      <c r="F9" s="1020"/>
      <c r="G9" s="1020"/>
    </row>
    <row r="10" spans="1:7" ht="12.75">
      <c r="A10" s="1021" t="s">
        <v>200</v>
      </c>
      <c r="B10" s="1019" t="s">
        <v>814</v>
      </c>
      <c r="C10" s="1019"/>
      <c r="D10" s="1019"/>
      <c r="E10" s="1019">
        <v>117117.16</v>
      </c>
      <c r="F10" s="1020">
        <v>101406.75</v>
      </c>
      <c r="G10" s="1019">
        <v>15710.41</v>
      </c>
    </row>
    <row r="11" spans="1:7" ht="12.75">
      <c r="A11" s="969"/>
      <c r="B11" s="986" t="s">
        <v>813</v>
      </c>
      <c r="C11" s="1019"/>
      <c r="D11" s="986"/>
      <c r="E11" s="1018"/>
      <c r="F11" s="988"/>
      <c r="G11" s="986"/>
    </row>
    <row r="12" spans="1:7" s="1014" customFormat="1" ht="22.5">
      <c r="A12" s="1007" t="s">
        <v>200</v>
      </c>
      <c r="B12" s="1017" t="s">
        <v>812</v>
      </c>
      <c r="C12" s="1006">
        <v>1.685</v>
      </c>
      <c r="D12" s="1005">
        <v>1.7</v>
      </c>
      <c r="E12" s="1009">
        <v>24.4</v>
      </c>
      <c r="F12" s="1008">
        <v>24044.45</v>
      </c>
      <c r="G12" s="1005"/>
    </row>
    <row r="13" spans="1:7" ht="12.75">
      <c r="A13" s="969"/>
      <c r="B13" s="986" t="s">
        <v>805</v>
      </c>
      <c r="C13" s="986"/>
      <c r="D13" s="986"/>
      <c r="E13" s="1006">
        <v>14.5</v>
      </c>
      <c r="F13" s="1003">
        <v>14125.69</v>
      </c>
      <c r="G13" s="986"/>
    </row>
    <row r="14" spans="1:7" ht="12.75">
      <c r="A14" s="969"/>
      <c r="B14" s="986" t="s">
        <v>811</v>
      </c>
      <c r="C14" s="986"/>
      <c r="D14" s="986"/>
      <c r="E14" s="1006">
        <v>2.93</v>
      </c>
      <c r="F14" s="1003">
        <v>2853.39</v>
      </c>
      <c r="G14" s="986"/>
    </row>
    <row r="15" spans="1:7" ht="12.75">
      <c r="A15" s="969"/>
      <c r="B15" s="986" t="s">
        <v>804</v>
      </c>
      <c r="C15" s="986"/>
      <c r="D15" s="986"/>
      <c r="E15" s="1006">
        <v>0.2</v>
      </c>
      <c r="F15" s="1003">
        <v>141.54</v>
      </c>
      <c r="G15" s="986"/>
    </row>
    <row r="16" spans="1:7" ht="12.75">
      <c r="A16" s="969"/>
      <c r="B16" s="986" t="s">
        <v>810</v>
      </c>
      <c r="C16" s="986"/>
      <c r="D16" s="986"/>
      <c r="E16" s="1006">
        <v>6.77</v>
      </c>
      <c r="F16" s="1003">
        <v>6923.83</v>
      </c>
      <c r="G16" s="986"/>
    </row>
    <row r="17" spans="1:7" s="1014" customFormat="1" ht="12.75">
      <c r="A17" s="1007" t="s">
        <v>355</v>
      </c>
      <c r="B17" s="1005" t="s">
        <v>809</v>
      </c>
      <c r="C17" s="1005">
        <v>1.21</v>
      </c>
      <c r="D17" s="1005">
        <v>1.3</v>
      </c>
      <c r="E17" s="1009">
        <v>15.5</v>
      </c>
      <c r="F17" s="1008">
        <v>15543.8</v>
      </c>
      <c r="G17" s="1005"/>
    </row>
    <row r="18" spans="1:7" ht="12.75">
      <c r="A18" s="969"/>
      <c r="B18" s="986" t="s">
        <v>805</v>
      </c>
      <c r="C18" s="986"/>
      <c r="D18" s="986"/>
      <c r="E18" s="1006">
        <v>11.7</v>
      </c>
      <c r="F18" s="1003">
        <v>11738.38</v>
      </c>
      <c r="G18" s="986"/>
    </row>
    <row r="19" spans="1:7" ht="12.75">
      <c r="A19" s="969"/>
      <c r="B19" s="986" t="s">
        <v>808</v>
      </c>
      <c r="C19" s="986"/>
      <c r="D19" s="986"/>
      <c r="E19" s="1006">
        <v>2.3</v>
      </c>
      <c r="F19" s="1003">
        <v>2371.15</v>
      </c>
      <c r="G19" s="986"/>
    </row>
    <row r="20" spans="1:7" ht="12.75">
      <c r="A20" s="969"/>
      <c r="B20" s="986" t="s">
        <v>804</v>
      </c>
      <c r="C20" s="986"/>
      <c r="D20" s="986"/>
      <c r="E20" s="1006">
        <v>1.5</v>
      </c>
      <c r="F20" s="1003">
        <v>1434.27</v>
      </c>
      <c r="G20" s="986"/>
    </row>
    <row r="21" spans="1:7" ht="33.75">
      <c r="A21" s="1007" t="s">
        <v>807</v>
      </c>
      <c r="B21" s="1017" t="s">
        <v>806</v>
      </c>
      <c r="C21" s="1005">
        <v>2.1</v>
      </c>
      <c r="D21" s="1005">
        <v>2.2</v>
      </c>
      <c r="E21" s="1009">
        <v>30.1</v>
      </c>
      <c r="F21" s="1008">
        <v>29641.85</v>
      </c>
      <c r="G21" s="1005"/>
    </row>
    <row r="22" spans="1:7" s="1014" customFormat="1" ht="12.75">
      <c r="A22" s="969"/>
      <c r="B22" s="986" t="s">
        <v>805</v>
      </c>
      <c r="C22" s="986"/>
      <c r="D22" s="986"/>
      <c r="E22" s="1006">
        <v>22</v>
      </c>
      <c r="F22" s="1003">
        <v>21504.64</v>
      </c>
      <c r="G22" s="986"/>
    </row>
    <row r="23" spans="1:7" ht="12.75">
      <c r="A23" s="969"/>
      <c r="B23" s="986" t="s">
        <v>797</v>
      </c>
      <c r="C23" s="986"/>
      <c r="D23" s="986"/>
      <c r="E23" s="1006">
        <v>4.4</v>
      </c>
      <c r="F23" s="1003">
        <v>4343.94</v>
      </c>
      <c r="G23" s="986"/>
    </row>
    <row r="24" spans="1:7" ht="12.75">
      <c r="A24" s="969"/>
      <c r="B24" s="986" t="s">
        <v>804</v>
      </c>
      <c r="C24" s="986"/>
      <c r="D24" s="986"/>
      <c r="E24" s="1006">
        <v>1.7</v>
      </c>
      <c r="F24" s="1003">
        <v>1868.33</v>
      </c>
      <c r="G24" s="986"/>
    </row>
    <row r="25" spans="1:7" ht="12.75">
      <c r="A25" s="969"/>
      <c r="B25" s="986" t="s">
        <v>803</v>
      </c>
      <c r="C25" s="986"/>
      <c r="D25" s="986"/>
      <c r="E25" s="1006">
        <v>2</v>
      </c>
      <c r="F25" s="1003">
        <v>1924.94</v>
      </c>
      <c r="G25" s="986"/>
    </row>
    <row r="26" spans="1:7" s="1015" customFormat="1" ht="12.75">
      <c r="A26" s="969" t="s">
        <v>802</v>
      </c>
      <c r="B26" s="986" t="s">
        <v>801</v>
      </c>
      <c r="C26" s="986"/>
      <c r="D26" s="986"/>
      <c r="E26" s="1006"/>
      <c r="F26" s="1016">
        <v>235.9</v>
      </c>
      <c r="G26" s="986"/>
    </row>
    <row r="27" spans="1:7" s="1014" customFormat="1" ht="12.75">
      <c r="A27" s="1007" t="s">
        <v>800</v>
      </c>
      <c r="B27" s="1005" t="s">
        <v>799</v>
      </c>
      <c r="C27" s="1005">
        <v>1.33</v>
      </c>
      <c r="D27" s="1005">
        <v>1.4</v>
      </c>
      <c r="E27" s="1009">
        <v>22.7</v>
      </c>
      <c r="F27" s="1008">
        <v>22695.49</v>
      </c>
      <c r="G27" s="1005"/>
    </row>
    <row r="28" spans="1:7" ht="12.75">
      <c r="A28" s="1007"/>
      <c r="B28" s="1005" t="s">
        <v>798</v>
      </c>
      <c r="C28" s="1005"/>
      <c r="D28" s="1005"/>
      <c r="E28" s="1006">
        <v>18.9</v>
      </c>
      <c r="F28" s="976">
        <v>18881.44</v>
      </c>
      <c r="G28" s="1005"/>
    </row>
    <row r="29" spans="1:7" ht="12.75">
      <c r="A29" s="1007"/>
      <c r="B29" s="1005" t="s">
        <v>797</v>
      </c>
      <c r="C29" s="1005"/>
      <c r="D29" s="1005"/>
      <c r="E29" s="1006">
        <v>3.8</v>
      </c>
      <c r="F29" s="976">
        <v>3814.05</v>
      </c>
      <c r="G29" s="1005"/>
    </row>
    <row r="30" spans="1:7" ht="22.5">
      <c r="A30" s="1007" t="s">
        <v>796</v>
      </c>
      <c r="B30" s="1013" t="s">
        <v>795</v>
      </c>
      <c r="C30" s="1006">
        <v>1.03</v>
      </c>
      <c r="D30" s="1005">
        <v>1.07</v>
      </c>
      <c r="E30" s="1009">
        <v>13.85</v>
      </c>
      <c r="F30" s="1008">
        <v>12754.52</v>
      </c>
      <c r="G30" s="1005"/>
    </row>
    <row r="31" spans="1:7" ht="12.75">
      <c r="A31" s="1007"/>
      <c r="B31" s="1005" t="s">
        <v>794</v>
      </c>
      <c r="C31" s="1005"/>
      <c r="D31" s="1005"/>
      <c r="E31" s="1006">
        <v>3</v>
      </c>
      <c r="F31" s="976">
        <v>2397.75</v>
      </c>
      <c r="G31" s="1005"/>
    </row>
    <row r="32" spans="1:7" ht="12.75">
      <c r="A32" s="969"/>
      <c r="B32" s="986" t="s">
        <v>793</v>
      </c>
      <c r="C32" s="986"/>
      <c r="D32" s="986"/>
      <c r="E32" s="1006">
        <v>3.4</v>
      </c>
      <c r="F32" s="1003">
        <v>3365.04</v>
      </c>
      <c r="G32" s="986"/>
    </row>
    <row r="33" spans="1:7" s="967" customFormat="1" ht="12.75">
      <c r="A33" s="969"/>
      <c r="B33" s="986" t="s">
        <v>792</v>
      </c>
      <c r="C33" s="986"/>
      <c r="D33" s="986"/>
      <c r="E33" s="1006">
        <v>0.7</v>
      </c>
      <c r="F33" s="1003">
        <v>0</v>
      </c>
      <c r="G33" s="986"/>
    </row>
    <row r="34" spans="1:7" s="967" customFormat="1" ht="33.75">
      <c r="A34" s="969"/>
      <c r="B34" s="1012" t="s">
        <v>791</v>
      </c>
      <c r="C34" s="986"/>
      <c r="D34" s="986"/>
      <c r="E34" s="1006">
        <v>1.5</v>
      </c>
      <c r="F34" s="1003">
        <v>3755.18</v>
      </c>
      <c r="G34" s="986"/>
    </row>
    <row r="35" spans="1:7" s="967" customFormat="1" ht="12.75">
      <c r="A35" s="969"/>
      <c r="B35" s="986" t="s">
        <v>790</v>
      </c>
      <c r="C35" s="986"/>
      <c r="D35" s="986"/>
      <c r="E35" s="1006">
        <v>1.85</v>
      </c>
      <c r="F35" s="1003">
        <v>0</v>
      </c>
      <c r="G35" s="986"/>
    </row>
    <row r="36" spans="1:7" s="967" customFormat="1" ht="12.75">
      <c r="A36" s="1007"/>
      <c r="B36" s="1005" t="s">
        <v>789</v>
      </c>
      <c r="C36" s="1005">
        <v>0.29</v>
      </c>
      <c r="D36" s="1005">
        <v>0.31</v>
      </c>
      <c r="E36" s="1006">
        <v>2.4</v>
      </c>
      <c r="F36" s="976">
        <v>2415.62</v>
      </c>
      <c r="G36" s="1005"/>
    </row>
    <row r="37" spans="1:7" s="5" customFormat="1" ht="12.75">
      <c r="A37" s="1007"/>
      <c r="B37" s="1005" t="s">
        <v>788</v>
      </c>
      <c r="C37" s="1005"/>
      <c r="D37" s="1005"/>
      <c r="E37" s="1006">
        <v>1</v>
      </c>
      <c r="F37" s="976">
        <v>820.93</v>
      </c>
      <c r="G37" s="1005"/>
    </row>
    <row r="38" spans="1:7" s="1011" customFormat="1" ht="12.75">
      <c r="A38" s="1007" t="s">
        <v>787</v>
      </c>
      <c r="B38" s="1005" t="s">
        <v>786</v>
      </c>
      <c r="C38" s="1005">
        <v>1.81</v>
      </c>
      <c r="D38" s="1005">
        <v>2.2</v>
      </c>
      <c r="E38" s="1009">
        <v>4.5</v>
      </c>
      <c r="F38" s="976">
        <v>4378.3</v>
      </c>
      <c r="G38" s="1005"/>
    </row>
    <row r="39" spans="1:7" s="1010" customFormat="1" ht="12.75">
      <c r="A39" s="1007" t="s">
        <v>785</v>
      </c>
      <c r="B39" s="1005" t="s">
        <v>784</v>
      </c>
      <c r="C39" s="1005">
        <v>0.21</v>
      </c>
      <c r="D39" s="1005">
        <v>0.5</v>
      </c>
      <c r="E39" s="1009">
        <v>1</v>
      </c>
      <c r="F39" s="976">
        <v>679.39</v>
      </c>
      <c r="G39" s="1005"/>
    </row>
    <row r="40" spans="1:7" s="806" customFormat="1" ht="12.75">
      <c r="A40" s="1007" t="s">
        <v>783</v>
      </c>
      <c r="B40" s="1005" t="s">
        <v>782</v>
      </c>
      <c r="C40" s="1005">
        <v>0.16</v>
      </c>
      <c r="D40" s="1005">
        <v>0.18</v>
      </c>
      <c r="E40" s="1009">
        <v>2</v>
      </c>
      <c r="F40" s="976">
        <v>1632.43</v>
      </c>
      <c r="G40" s="1005"/>
    </row>
    <row r="41" spans="1:7" s="806" customFormat="1" ht="12.75">
      <c r="A41" s="1007" t="s">
        <v>524</v>
      </c>
      <c r="B41" s="1005" t="s">
        <v>781</v>
      </c>
      <c r="C41" s="1005">
        <v>0.01</v>
      </c>
      <c r="D41" s="1005">
        <v>0.01</v>
      </c>
      <c r="E41" s="1009">
        <v>0.05</v>
      </c>
      <c r="F41" s="976">
        <v>47.18</v>
      </c>
      <c r="G41" s="1005"/>
    </row>
    <row r="42" spans="1:7" s="806" customFormat="1" ht="12.75">
      <c r="A42" s="1007" t="s">
        <v>523</v>
      </c>
      <c r="B42" s="1005" t="s">
        <v>780</v>
      </c>
      <c r="C42" s="1005"/>
      <c r="D42" s="1005"/>
      <c r="E42" s="1009">
        <v>3</v>
      </c>
      <c r="F42" s="1008">
        <v>3195</v>
      </c>
      <c r="G42" s="1005"/>
    </row>
    <row r="43" spans="1:7" ht="12.75">
      <c r="A43" s="1007"/>
      <c r="B43" s="1005" t="s">
        <v>779</v>
      </c>
      <c r="C43" s="1005"/>
      <c r="D43" s="1005"/>
      <c r="E43" s="1006"/>
      <c r="F43" s="976">
        <v>95</v>
      </c>
      <c r="G43" s="1005"/>
    </row>
    <row r="44" spans="1:7" ht="12.75">
      <c r="A44" s="979"/>
      <c r="B44" s="1004" t="s">
        <v>778</v>
      </c>
      <c r="C44" s="977"/>
      <c r="D44" s="977"/>
      <c r="E44" s="976"/>
      <c r="F44" s="1003">
        <v>100</v>
      </c>
      <c r="G44" s="974"/>
    </row>
    <row r="45" spans="1:7" ht="12.75">
      <c r="A45" s="973"/>
      <c r="B45" s="986" t="s">
        <v>777</v>
      </c>
      <c r="C45" s="971"/>
      <c r="D45" s="971"/>
      <c r="E45" s="971"/>
      <c r="F45" s="972">
        <v>3000</v>
      </c>
      <c r="G45" s="971"/>
    </row>
    <row r="46" spans="1:7" ht="12.75">
      <c r="A46" s="979"/>
      <c r="B46" s="978" t="s">
        <v>776</v>
      </c>
      <c r="C46" s="977">
        <v>9.84</v>
      </c>
      <c r="D46" s="977">
        <v>10.87</v>
      </c>
      <c r="E46" s="976">
        <v>117.1</v>
      </c>
      <c r="F46" s="975">
        <v>114848.31</v>
      </c>
      <c r="G46" s="974"/>
    </row>
    <row r="47" spans="1:7" ht="12.75">
      <c r="A47" s="973"/>
      <c r="B47" s="1002" t="s">
        <v>775</v>
      </c>
      <c r="C47" s="971"/>
      <c r="D47" s="971"/>
      <c r="E47" s="971"/>
      <c r="F47" s="1001" t="s">
        <v>774</v>
      </c>
      <c r="G47" s="971"/>
    </row>
    <row r="48" spans="1:7" ht="12.75">
      <c r="A48" s="1000"/>
      <c r="B48" s="999" t="s">
        <v>773</v>
      </c>
      <c r="C48" s="998"/>
      <c r="D48" s="998"/>
      <c r="E48" s="998"/>
      <c r="F48" s="998"/>
      <c r="G48" s="997"/>
    </row>
    <row r="49" spans="1:7" ht="12.75">
      <c r="A49" s="996"/>
      <c r="B49" s="995"/>
      <c r="C49" s="994"/>
      <c r="D49" s="994"/>
      <c r="E49" s="994"/>
      <c r="F49" s="994"/>
      <c r="G49" s="993"/>
    </row>
    <row r="50" spans="1:7" ht="12.75" customHeight="1" hidden="1">
      <c r="A50" s="969"/>
      <c r="B50" s="995" t="s">
        <v>771</v>
      </c>
      <c r="C50" s="994"/>
      <c r="D50" s="994"/>
      <c r="E50" s="994"/>
      <c r="F50" s="994"/>
      <c r="G50" s="993"/>
    </row>
    <row r="51" spans="1:7" ht="12.75" hidden="1">
      <c r="A51" s="992"/>
      <c r="B51" s="995"/>
      <c r="C51" s="994"/>
      <c r="D51" s="994"/>
      <c r="E51" s="994"/>
      <c r="F51" s="994"/>
      <c r="G51" s="993"/>
    </row>
    <row r="52" spans="1:7" ht="12.75" hidden="1">
      <c r="A52" s="992"/>
      <c r="B52" s="991"/>
      <c r="C52" s="991"/>
      <c r="D52" s="991"/>
      <c r="E52" s="991"/>
      <c r="F52" s="991"/>
      <c r="G52" s="991"/>
    </row>
    <row r="53" spans="1:7" ht="12.75" hidden="1">
      <c r="A53" s="969"/>
      <c r="B53" s="986"/>
      <c r="C53" s="986"/>
      <c r="D53" s="986"/>
      <c r="E53" s="986"/>
      <c r="F53" s="987"/>
      <c r="G53" s="986"/>
    </row>
    <row r="54" spans="1:7" ht="12.75" hidden="1">
      <c r="A54" s="969"/>
      <c r="B54" s="990"/>
      <c r="C54" s="989"/>
      <c r="D54" s="989"/>
      <c r="E54" s="986"/>
      <c r="F54" s="987"/>
      <c r="G54" s="986"/>
    </row>
    <row r="55" spans="1:7" ht="12.75" hidden="1">
      <c r="A55" s="969"/>
      <c r="B55" s="986"/>
      <c r="C55" s="986"/>
      <c r="D55" s="986"/>
      <c r="E55" s="986"/>
      <c r="F55" s="988"/>
      <c r="G55" s="986"/>
    </row>
    <row r="56" spans="1:7" ht="12.75" hidden="1">
      <c r="A56" s="969"/>
      <c r="B56" s="986"/>
      <c r="C56" s="986"/>
      <c r="D56" s="986"/>
      <c r="E56" s="986"/>
      <c r="F56" s="988"/>
      <c r="G56" s="986"/>
    </row>
    <row r="57" spans="1:7" s="985" customFormat="1" ht="12.75" hidden="1">
      <c r="A57" s="969"/>
      <c r="B57" s="986"/>
      <c r="C57" s="986"/>
      <c r="D57" s="986"/>
      <c r="E57" s="986"/>
      <c r="F57" s="988"/>
      <c r="G57" s="986"/>
    </row>
    <row r="58" spans="1:7" ht="12.75" hidden="1">
      <c r="A58" s="969"/>
      <c r="B58" s="986"/>
      <c r="C58" s="986"/>
      <c r="D58" s="986"/>
      <c r="E58" s="986"/>
      <c r="F58" s="988"/>
      <c r="G58" s="986"/>
    </row>
    <row r="59" spans="1:7" ht="12.75" hidden="1">
      <c r="A59" s="969"/>
      <c r="B59" s="986"/>
      <c r="C59" s="986"/>
      <c r="D59" s="986"/>
      <c r="E59" s="986"/>
      <c r="F59" s="988"/>
      <c r="G59" s="986"/>
    </row>
    <row r="60" spans="1:7" ht="12.75" hidden="1">
      <c r="A60" s="969"/>
      <c r="B60" s="986"/>
      <c r="C60" s="986"/>
      <c r="D60" s="986"/>
      <c r="E60" s="986"/>
      <c r="F60" s="987"/>
      <c r="G60" s="986"/>
    </row>
    <row r="61" spans="1:7" s="985" customFormat="1" ht="12.75" hidden="1">
      <c r="A61" s="809"/>
      <c r="B61" s="980"/>
      <c r="C61" s="980"/>
      <c r="D61" s="980"/>
      <c r="E61" s="980"/>
      <c r="F61" s="981"/>
      <c r="G61" s="980"/>
    </row>
    <row r="62" spans="1:7" ht="12.75" hidden="1">
      <c r="A62" s="809"/>
      <c r="B62" s="980"/>
      <c r="C62" s="980"/>
      <c r="D62" s="980"/>
      <c r="E62" s="980"/>
      <c r="F62" s="981"/>
      <c r="G62" s="980"/>
    </row>
    <row r="63" spans="1:7" ht="12.75" hidden="1">
      <c r="A63" s="809"/>
      <c r="B63" s="980"/>
      <c r="C63" s="980"/>
      <c r="D63" s="980"/>
      <c r="E63" s="980"/>
      <c r="F63" s="981"/>
      <c r="G63" s="980"/>
    </row>
    <row r="64" spans="1:7" ht="12.75" hidden="1">
      <c r="A64" s="984"/>
      <c r="B64" s="982"/>
      <c r="C64" s="982"/>
      <c r="D64" s="982"/>
      <c r="E64" s="982"/>
      <c r="F64" s="983"/>
      <c r="G64" s="982"/>
    </row>
    <row r="65" spans="1:7" ht="12.75" hidden="1">
      <c r="A65" s="809"/>
      <c r="B65" s="980"/>
      <c r="C65" s="980"/>
      <c r="D65" s="980"/>
      <c r="E65" s="980"/>
      <c r="F65" s="981"/>
      <c r="G65" s="980"/>
    </row>
    <row r="66" spans="1:7" ht="12.75" hidden="1">
      <c r="A66" s="809"/>
      <c r="B66" s="980"/>
      <c r="C66" s="980"/>
      <c r="D66" s="980"/>
      <c r="E66" s="980"/>
      <c r="F66" s="981"/>
      <c r="G66" s="980"/>
    </row>
    <row r="67" spans="1:7" ht="12.75" hidden="1">
      <c r="A67" s="979"/>
      <c r="B67" s="978"/>
      <c r="C67" s="977"/>
      <c r="D67" s="977"/>
      <c r="E67" s="976"/>
      <c r="F67" s="975"/>
      <c r="G67" s="974"/>
    </row>
    <row r="68" spans="1:7" ht="12.75" hidden="1">
      <c r="A68" s="973"/>
      <c r="B68" s="971"/>
      <c r="C68" s="971"/>
      <c r="D68" s="971"/>
      <c r="E68" s="971"/>
      <c r="F68" s="972"/>
      <c r="G68" s="971"/>
    </row>
    <row r="69" spans="1:7" ht="12.75">
      <c r="A69" s="969"/>
      <c r="B69" s="969" t="s">
        <v>772</v>
      </c>
      <c r="C69" s="969"/>
      <c r="D69" s="969"/>
      <c r="E69" s="969"/>
      <c r="F69" s="970"/>
      <c r="G69" s="969"/>
    </row>
    <row r="70" spans="1:7" ht="12.75">
      <c r="A70" s="135"/>
      <c r="B70" s="135"/>
      <c r="C70" s="135"/>
      <c r="D70" s="135"/>
      <c r="E70" s="135"/>
      <c r="F70" s="968"/>
      <c r="G70" s="135"/>
    </row>
    <row r="71" ht="12.75">
      <c r="B71" t="s">
        <v>771</v>
      </c>
    </row>
  </sheetData>
  <sheetProtection/>
  <mergeCells count="6">
    <mergeCell ref="B3:G3"/>
    <mergeCell ref="B51:G51"/>
    <mergeCell ref="B52:G52"/>
    <mergeCell ref="B50:G50"/>
    <mergeCell ref="B48:G48"/>
    <mergeCell ref="B49:G49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Admin</cp:lastModifiedBy>
  <cp:lastPrinted>2014-08-18T06:22:50Z</cp:lastPrinted>
  <dcterms:created xsi:type="dcterms:W3CDTF">2007-07-20T13:26:54Z</dcterms:created>
  <dcterms:modified xsi:type="dcterms:W3CDTF">2016-03-31T14:34:59Z</dcterms:modified>
  <cp:category/>
  <cp:version/>
  <cp:contentType/>
  <cp:contentStatus/>
</cp:coreProperties>
</file>