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'Обязат'!$A$1:$H$72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<sst xmlns="http://schemas.openxmlformats.org/spreadsheetml/2006/main" count="1171" uniqueCount="769">
  <si>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</si>
  <si>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</si>
  <si>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</si>
  <si>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</si>
  <si>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</si>
  <si>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</si>
  <si>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</si>
  <si>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</si>
  <si>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</si>
  <si>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</si>
  <si>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</si>
  <si>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</si>
  <si>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</si>
  <si>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</si>
  <si>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</si>
  <si>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</si>
  <si>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</si>
  <si>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</si>
  <si>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</si>
  <si>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</si>
  <si>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</si>
  <si>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</si>
  <si>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</si>
  <si>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</si>
  <si>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</si>
  <si>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</si>
  <si>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</si>
  <si>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</si>
  <si>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</si>
  <si>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</si>
  <si>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</si>
  <si>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</si>
  <si>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</si>
  <si>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</si>
  <si>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</si>
  <si>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</si>
  <si>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</si>
  <si>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</si>
  <si>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</si>
  <si>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</si>
  <si>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</si>
  <si>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</si>
  <si>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</si>
  <si>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</si>
  <si>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</si>
  <si>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</si>
  <si>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</si>
  <si>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</si>
  <si>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</si>
  <si>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</si>
  <si>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</si>
  <si>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</si>
  <si>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</si>
  <si>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</si>
  <si>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</si>
  <si>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</si>
  <si>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</si>
  <si>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</si>
  <si>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</si>
  <si>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</si>
  <si>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</si>
  <si>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</si>
  <si>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</si>
  <si>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</si>
  <si>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</si>
  <si>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</si>
  <si>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</si>
  <si>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</si>
  <si>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</si>
  <si>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</si>
  <si>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</si>
  <si>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</si>
  <si>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</si>
  <si>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</si>
  <si>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</si>
  <si>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</si>
  <si>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</si>
  <si>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</si>
  <si>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</si>
  <si>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</si>
  <si>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</si>
  <si>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</si>
  <si>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</si>
  <si>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</si>
  <si>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</si>
  <si>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</si>
  <si>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</si>
  <si>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</si>
  <si>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</si>
  <si>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</si>
  <si>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</si>
  <si>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</si>
  <si>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</si>
  <si>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</si>
  <si>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</si>
  <si>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</si>
  <si>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</si>
  <si>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</si>
  <si>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</si>
  <si>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</si>
  <si>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</si>
  <si>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</si>
  <si>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</si>
  <si>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</si>
  <si>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</si>
  <si>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</si>
  <si>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</si>
  <si>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</si>
  <si>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</si>
  <si>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</si>
  <si>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</si>
  <si>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</si>
  <si>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</si>
  <si>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</si>
  <si>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</si>
  <si>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</si>
  <si>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</si>
  <si>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</si>
  <si>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</si>
  <si>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</si>
  <si>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</si>
  <si>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</si>
  <si>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</si>
  <si>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</si>
  <si>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</si>
  <si>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</si>
  <si>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</si>
  <si>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</si>
  <si>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</si>
  <si>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</si>
  <si>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</si>
  <si>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</si>
  <si>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</si>
  <si>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</si>
  <si>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</si>
  <si>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</si>
  <si>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</si>
  <si>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</si>
  <si>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</si>
  <si>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</si>
  <si>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</si>
  <si>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</si>
  <si>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</si>
  <si>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</si>
  <si>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</si>
  <si>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</si>
  <si>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</si>
  <si>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</si>
  <si>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</si>
  <si>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</si>
  <si>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</si>
  <si>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</si>
  <si>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</si>
  <si>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</si>
  <si>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</si>
  <si>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</si>
  <si>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</si>
  <si>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</si>
  <si>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</si>
  <si>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</si>
  <si>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</si>
  <si>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</si>
  <si>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</si>
  <si>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</si>
  <si>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</si>
  <si>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</si>
  <si>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</si>
  <si>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</si>
  <si>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</si>
  <si>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</si>
  <si>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</si>
  <si>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</si>
  <si>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</si>
  <si>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</si>
  <si>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</si>
  <si>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</si>
  <si>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</si>
  <si>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</si>
  <si>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</si>
  <si>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</si>
  <si>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</si>
  <si>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</si>
  <si>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</si>
  <si>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</si>
  <si>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</si>
  <si>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</si>
  <si>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</si>
  <si>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</si>
  <si>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</si>
  <si>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</si>
  <si>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</si>
  <si>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</si>
  <si>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</si>
  <si>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</si>
  <si>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</si>
  <si>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</si>
  <si>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</si>
  <si>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</si>
  <si>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</si>
  <si>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</si>
  <si>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</si>
  <si>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</si>
  <si>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</si>
  <si>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</si>
  <si>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</si>
  <si>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</si>
  <si>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</si>
  <si>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</si>
  <si>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</si>
  <si>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</si>
  <si>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</si>
  <si>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</si>
  <si>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</si>
  <si>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</si>
  <si>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</si>
  <si>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</si>
  <si>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</si>
  <si>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</si>
  <si>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</si>
  <si>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</si>
  <si>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</si>
  <si>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</si>
  <si>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</si>
  <si>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</si>
  <si>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</si>
  <si>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</si>
  <si>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</t>
  </si>
  <si>
    <t>Уборка контейнерных площадок</t>
  </si>
  <si>
    <t>Теплый период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</si>
  <si>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</si>
  <si>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</si>
  <si>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</si>
  <si>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</si>
  <si>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</si>
  <si>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</si>
  <si>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</si>
  <si>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</si>
  <si>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</si>
  <si>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</si>
  <si>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</si>
  <si>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</si>
  <si>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</si>
  <si>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</si>
  <si>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</si>
  <si>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</si>
  <si>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</si>
  <si>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</si>
  <si>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</si>
  <si>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</si>
  <si>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</si>
  <si>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</si>
  <si>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</si>
  <si>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</si>
  <si>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</si>
  <si>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</si>
  <si>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</si>
  <si>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</si>
  <si>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</si>
  <si>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</si>
  <si>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</si>
  <si>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</si>
  <si>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</si>
  <si>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</si>
  <si>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</si>
  <si>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</si>
  <si>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</si>
  <si>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</si>
  <si>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</si>
  <si>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</si>
  <si>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</si>
  <si>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</si>
  <si>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</si>
  <si>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</si>
  <si>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</si>
  <si>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</si>
  <si>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</si>
  <si>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</si>
  <si>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</si>
  <si>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</si>
  <si>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</si>
  <si>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</si>
  <si>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</si>
  <si>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</si>
  <si>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</si>
  <si>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</si>
  <si>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</si>
  <si>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</si>
  <si>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</si>
  <si>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</si>
  <si>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</si>
  <si>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</si>
  <si>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</si>
  <si>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</si>
  <si>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</si>
  <si>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</si>
  <si>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</si>
  <si>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</si>
  <si>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</si>
  <si>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</si>
  <si>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</si>
  <si>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</si>
  <si>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</si>
  <si>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</si>
  <si>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</si>
  <si>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</si>
  <si>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</si>
  <si>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</si>
  <si>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</si>
  <si>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</si>
  <si>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</si>
  <si>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</si>
  <si>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</si>
  <si>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</si>
  <si>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</si>
  <si>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</si>
  <si>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</si>
  <si>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</si>
  <si>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</si>
  <si>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</si>
  <si>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</si>
  <si>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</si>
  <si>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</si>
  <si>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</si>
  <si>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</si>
  <si>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</si>
  <si>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</si>
  <si>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</si>
  <si>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</si>
  <si>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</si>
  <si>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</si>
  <si>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</si>
  <si>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</si>
  <si>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</si>
  <si>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</si>
  <si>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</si>
  <si>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</si>
  <si>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</si>
  <si>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</si>
  <si>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</si>
  <si>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</si>
  <si>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</si>
  <si>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</si>
  <si>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</si>
  <si>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</si>
  <si>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</si>
  <si>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</si>
  <si>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</si>
  <si>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</si>
  <si>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</si>
  <si>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</si>
  <si>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</si>
  <si>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</si>
  <si>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</si>
  <si>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</si>
  <si>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</si>
  <si>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</si>
  <si>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</si>
  <si>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</si>
  <si>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</si>
  <si>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</si>
  <si>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</si>
  <si>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</si>
  <si>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</si>
  <si>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</si>
  <si>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</si>
  <si>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</si>
  <si>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</si>
  <si>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</si>
  <si>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</si>
  <si>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</si>
  <si>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</si>
  <si>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</si>
  <si>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</si>
  <si>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</si>
  <si>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</si>
  <si>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</si>
  <si>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</si>
  <si>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</si>
  <si>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</si>
  <si>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</si>
  <si>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</si>
  <si>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</si>
  <si>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</si>
  <si>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</si>
  <si>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</si>
  <si>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</si>
  <si>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</si>
  <si>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</si>
  <si>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</si>
  <si>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</si>
  <si>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</si>
  <si>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</si>
  <si>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</si>
  <si>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</si>
  <si>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</si>
  <si>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</si>
  <si>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</si>
  <si>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</si>
  <si>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</si>
  <si>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</si>
  <si>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</si>
  <si>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</si>
  <si>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</si>
  <si>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</si>
  <si>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</si>
  <si>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</si>
  <si>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</si>
  <si>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</si>
  <si>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</si>
  <si>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</si>
  <si>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</si>
  <si>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</si>
  <si>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</si>
  <si>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</si>
  <si>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</si>
  <si>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</si>
  <si>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</si>
  <si>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</si>
  <si>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</si>
  <si>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</si>
  <si>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</si>
  <si>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</si>
  <si>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</si>
  <si>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</si>
  <si>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</si>
  <si>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</si>
  <si>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</si>
  <si>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</si>
  <si>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</si>
  <si>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</si>
  <si>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</si>
  <si>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</si>
  <si>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</si>
  <si>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</si>
  <si>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</si>
  <si>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</si>
  <si>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</si>
  <si>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</si>
  <si>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</si>
  <si>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</si>
  <si>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</si>
  <si>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</si>
  <si>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</si>
  <si>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</si>
  <si>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</si>
  <si>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</si>
  <si>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</si>
  <si>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</si>
  <si>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</si>
  <si>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</si>
  <si>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</si>
  <si>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</si>
  <si>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</si>
  <si>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</si>
  <si>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</si>
  <si>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</si>
  <si>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</si>
  <si>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</si>
  <si>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</si>
  <si>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</si>
  <si>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</si>
  <si>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</si>
  <si>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</si>
  <si>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</si>
  <si>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</si>
  <si>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</si>
  <si>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</si>
  <si>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</si>
  <si>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</si>
  <si>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</si>
  <si>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</si>
  <si>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</si>
  <si>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</si>
  <si>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</si>
  <si>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</si>
  <si>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</si>
  <si>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</si>
  <si>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</si>
  <si>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</si>
  <si>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</si>
  <si>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</si>
  <si>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</si>
  <si>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</si>
  <si>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5.2</t>
  </si>
  <si>
    <t>5.3.</t>
  </si>
  <si>
    <t>Содержание общедомовых приборов учета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</si>
  <si>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</si>
  <si>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</si>
  <si>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</si>
  <si>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</si>
  <si>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</si>
  <si>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</si>
  <si>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</si>
  <si>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</si>
  <si>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</si>
  <si>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</si>
  <si>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</si>
  <si>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</si>
  <si>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</si>
  <si>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</si>
  <si>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</si>
  <si>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</si>
  <si>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</si>
  <si>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</si>
  <si>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</si>
  <si>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</si>
  <si>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</si>
  <si>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</si>
  <si>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</si>
  <si>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</si>
  <si>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</si>
  <si>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</si>
  <si>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</si>
  <si>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</si>
  <si>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</si>
  <si>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</si>
  <si>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</si>
  <si>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</si>
  <si>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</si>
  <si>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</si>
  <si>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</si>
  <si>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</si>
  <si>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</si>
  <si>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</si>
  <si>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</si>
  <si>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</si>
  <si>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</si>
  <si>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</si>
  <si>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</si>
  <si>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</si>
  <si>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</si>
  <si>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</si>
  <si>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</si>
  <si>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</si>
  <si>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</si>
  <si>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</si>
  <si>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</si>
  <si>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</si>
  <si>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</si>
  <si>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</si>
  <si>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</si>
  <si>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</si>
  <si>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</si>
  <si>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</si>
  <si>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</si>
  <si>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</si>
  <si>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</si>
  <si>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</si>
  <si>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</si>
  <si>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</si>
  <si>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</si>
  <si>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</si>
  <si>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</si>
  <si>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</si>
  <si>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</si>
  <si>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</si>
  <si>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</si>
  <si>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</si>
  <si>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</si>
  <si>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</si>
  <si>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</si>
  <si>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</si>
  <si>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</si>
  <si>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</si>
  <si>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</si>
  <si>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</si>
  <si>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</si>
  <si>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</si>
  <si>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</si>
  <si>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</si>
  <si>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</si>
  <si>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</si>
  <si>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</si>
  <si>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</si>
  <si>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</si>
  <si>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</si>
  <si>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</si>
  <si>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</si>
  <si>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</si>
  <si>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</si>
  <si>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</si>
  <si>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</si>
  <si>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</si>
  <si>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</si>
  <si>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</si>
  <si>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</si>
  <si>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</si>
  <si>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</si>
  <si>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</si>
  <si>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</si>
  <si>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</si>
  <si>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</si>
  <si>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</si>
  <si>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</si>
  <si>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</si>
  <si>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</si>
  <si>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</si>
  <si>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</si>
  <si>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</si>
  <si>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</si>
  <si>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</si>
  <si>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</si>
  <si>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</si>
  <si>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</si>
  <si>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</si>
  <si>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</si>
  <si>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</si>
  <si>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</si>
  <si>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</si>
  <si>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</si>
  <si>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</si>
  <si>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</si>
  <si>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</si>
  <si>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</si>
  <si>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</si>
  <si>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</si>
  <si>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</si>
  <si>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</si>
  <si>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</si>
  <si>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</si>
  <si>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</si>
  <si>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</si>
  <si>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</si>
  <si>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</si>
  <si>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</si>
  <si>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</si>
  <si>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</si>
  <si>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</si>
  <si>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</si>
  <si>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</si>
  <si>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</si>
  <si>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</si>
  <si>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</si>
  <si>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</si>
  <si>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</si>
  <si>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</si>
  <si>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</si>
  <si>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</si>
  <si>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</si>
  <si>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</si>
  <si>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</si>
  <si>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</si>
  <si>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</si>
  <si>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</si>
  <si>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</si>
  <si>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</si>
  <si>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</si>
  <si>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</si>
  <si>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</si>
  <si>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</si>
  <si>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</si>
  <si>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</si>
  <si>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</si>
  <si>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</si>
  <si>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</si>
  <si>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</si>
  <si>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</si>
  <si>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</si>
  <si>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</si>
  <si>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</si>
  <si>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</si>
  <si>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</si>
  <si>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</si>
  <si>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</si>
  <si>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</si>
  <si>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</si>
  <si>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</si>
  <si>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</si>
  <si>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</si>
  <si>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</si>
  <si>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</si>
  <si>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</si>
  <si>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</si>
  <si>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</si>
  <si>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</si>
  <si>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</si>
  <si>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</si>
  <si>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</si>
  <si>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</si>
  <si>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</si>
  <si>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</si>
  <si>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</si>
  <si>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</si>
  <si>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</si>
  <si>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</si>
  <si>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</si>
  <si>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</si>
  <si>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</si>
  <si>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</si>
  <si>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</si>
  <si>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</si>
  <si>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</si>
  <si>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</si>
  <si>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</si>
  <si>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</si>
  <si>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</si>
  <si>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</si>
  <si>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</si>
  <si>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</si>
  <si>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</si>
  <si>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</si>
  <si>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</si>
  <si>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</si>
  <si>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</si>
  <si>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</si>
  <si>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</si>
  <si>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</si>
  <si>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</si>
  <si>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</si>
  <si>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</si>
  <si>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</si>
  <si>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</si>
  <si>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5.7.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</si>
  <si>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</si>
  <si>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</si>
  <si>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</si>
  <si>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</si>
  <si>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</si>
  <si>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</si>
  <si>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</si>
  <si>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</si>
  <si>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</si>
  <si>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</si>
  <si>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</si>
  <si>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</si>
  <si>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</si>
  <si>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</si>
  <si>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</si>
  <si>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</si>
  <si>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</si>
  <si>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</si>
  <si>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</si>
  <si>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</si>
  <si>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</si>
  <si>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</si>
  <si>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</si>
  <si>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</si>
  <si>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</si>
  <si>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</si>
  <si>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</si>
  <si>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</si>
  <si>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</si>
  <si>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</si>
  <si>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</si>
  <si>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</si>
  <si>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</si>
  <si>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</si>
  <si>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 xml:space="preserve">Влажное подметание лестничных площадок и маршей нижних двух этажей  </t>
  </si>
  <si>
    <t>1.7.</t>
  </si>
  <si>
    <t xml:space="preserve">Влажное подметание лестничных площадок и маршей выше второго этажа  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</si>
  <si>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</si>
  <si>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</si>
  <si>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</si>
  <si>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</si>
  <si>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Исходные данные  дома по  пр. Б.Хм.191</t>
  </si>
  <si>
    <t>Санитарное содержание жилых зданий и придомовой территории ж.д.№191</t>
  </si>
  <si>
    <t>Затраты на спецодежду, инвентарь (прик 191, нормы по спецодежде) ж.д. №191 по пр. Б. Хмм</t>
  </si>
  <si>
    <t>Стоимость затрат на содержание  внутридомового инженерного оборудования и конструктивных элементов ж.д. 191 по пр. Б. Хм.</t>
  </si>
  <si>
    <t>Сводная таблица "Содержание жилого дома по  видам работ" №191 по пр. Б. Хмельницкого</t>
  </si>
  <si>
    <t>Перечень работ и услуг по содержанию и текущему ремонту общего имущества многоквартирного дома по адресу: пр. Б. Хмельницкого,191</t>
  </si>
  <si>
    <t>от100</t>
  </si>
  <si>
    <t>Влажная протирка подоконников, оконных решеток, перил,  шкафов для электросчетчиков и слаботочных устройств, почтовых ящиков</t>
  </si>
  <si>
    <t>2.1.6</t>
  </si>
  <si>
    <t>а) Подметание территорий в дни без осадков на территориях 1 класса;</t>
  </si>
  <si>
    <t>з/п</t>
  </si>
  <si>
    <t>фонд</t>
  </si>
  <si>
    <t>мат</t>
  </si>
  <si>
    <t>с 01.07.14г.- 10,52</t>
  </si>
  <si>
    <t>БЕЗ ОДН- 10,36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</si>
</sst>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vertical="top" wrapText="1"/>
    </xf>
    <xf numFmtId="0" fontId="22" fillId="0" borderId="67" xfId="0" applyFont="1" applyBorder="1" applyAlignment="1">
      <alignment horizontal="center" vertical="top" wrapText="1"/>
    </xf>
    <xf numFmtId="4" fontId="22" fillId="0" borderId="6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0" fontId="0" fillId="43" borderId="57" xfId="0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4" fontId="0" fillId="44" borderId="16" xfId="0" applyNumberFormat="1" applyFont="1" applyFill="1" applyBorder="1" applyAlignment="1">
      <alignment horizontal="center" wrapText="1"/>
    </xf>
    <xf numFmtId="166" fontId="22" fillId="0" borderId="77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2" t="s">
        <v>754</v>
      </c>
      <c r="C1" s="902"/>
      <c r="D1" s="339"/>
    </row>
    <row r="2" ht="13.5" thickBot="1"/>
    <row r="3" spans="1:9" s="2" customFormat="1" ht="29.25" customHeight="1" thickBot="1">
      <c r="A3" s="431"/>
      <c r="B3" s="535" t="s">
        <v>0</v>
      </c>
      <c r="C3" s="536" t="s">
        <v>151</v>
      </c>
      <c r="D3" s="537" t="s">
        <v>479</v>
      </c>
      <c r="E3"/>
      <c r="F3"/>
      <c r="G3"/>
      <c r="I3" s="2" t="s">
        <v>753</v>
      </c>
    </row>
    <row r="4" spans="1:7" s="243" customFormat="1" ht="15" customHeight="1" thickBot="1">
      <c r="A4" s="300" t="s">
        <v>87</v>
      </c>
      <c r="B4" s="305" t="s">
        <v>191</v>
      </c>
      <c r="C4" s="300" t="s">
        <v>88</v>
      </c>
      <c r="D4" s="541" t="s">
        <v>72</v>
      </c>
      <c r="E4"/>
      <c r="F4"/>
      <c r="G4"/>
    </row>
    <row r="5" spans="1:7" s="238" customFormat="1" ht="15" customHeight="1">
      <c r="A5" s="124" t="s">
        <v>191</v>
      </c>
      <c r="B5" s="538" t="s">
        <v>258</v>
      </c>
      <c r="C5" s="539" t="s">
        <v>169</v>
      </c>
      <c r="D5" s="540">
        <v>24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2" t="s">
        <v>169</v>
      </c>
      <c r="D6" s="453">
        <v>24</v>
      </c>
      <c r="E6"/>
      <c r="F6"/>
      <c r="G6"/>
    </row>
    <row r="7" spans="1:7" s="238" customFormat="1" ht="15" customHeight="1" thickBot="1">
      <c r="A7" s="249" t="s">
        <v>72</v>
      </c>
      <c r="B7" s="346" t="s">
        <v>186</v>
      </c>
      <c r="C7" s="383" t="s">
        <v>283</v>
      </c>
      <c r="D7" s="454">
        <v>55</v>
      </c>
      <c r="E7"/>
      <c r="F7"/>
      <c r="G7"/>
    </row>
    <row r="8" spans="1:7" s="4" customFormat="1" ht="27.75" customHeight="1" thickBot="1">
      <c r="A8" s="347" t="s">
        <v>73</v>
      </c>
      <c r="B8" s="309" t="s">
        <v>407</v>
      </c>
      <c r="C8" s="315" t="s">
        <v>271</v>
      </c>
      <c r="D8" s="777">
        <f>D9+D10+D11</f>
        <v>1149.9</v>
      </c>
      <c r="E8" s="5"/>
      <c r="F8" s="5"/>
      <c r="G8" s="5"/>
    </row>
    <row r="9" spans="1:8" s="350" customFormat="1" ht="15" customHeight="1">
      <c r="A9" s="124" t="s">
        <v>74</v>
      </c>
      <c r="B9" s="348" t="s">
        <v>64</v>
      </c>
      <c r="C9" s="349" t="s">
        <v>271</v>
      </c>
      <c r="D9" s="557">
        <v>54.9</v>
      </c>
      <c r="E9" s="115"/>
      <c r="F9" s="115"/>
      <c r="G9" s="115"/>
      <c r="H9" s="350">
        <v>75.6</v>
      </c>
    </row>
    <row r="10" spans="1:7" s="350" customFormat="1" ht="15" customHeight="1" thickBot="1">
      <c r="A10" s="429" t="s">
        <v>75</v>
      </c>
      <c r="B10" s="428" t="s">
        <v>406</v>
      </c>
      <c r="C10" s="349" t="s">
        <v>271</v>
      </c>
      <c r="D10" s="558">
        <v>0</v>
      </c>
      <c r="E10" s="115"/>
      <c r="F10" s="115"/>
      <c r="G10" s="115"/>
    </row>
    <row r="11" spans="1:7" s="239" customFormat="1" ht="27.75" customHeight="1" thickBot="1">
      <c r="A11" s="347" t="s">
        <v>76</v>
      </c>
      <c r="B11" s="309" t="s">
        <v>408</v>
      </c>
      <c r="C11" s="310" t="s">
        <v>271</v>
      </c>
      <c r="D11" s="308">
        <f>D12*1</f>
        <v>1095</v>
      </c>
      <c r="E11"/>
      <c r="F11"/>
      <c r="G11"/>
    </row>
    <row r="12" spans="1:7" s="1" customFormat="1" ht="15" customHeight="1">
      <c r="A12" s="124"/>
      <c r="B12" s="123" t="s">
        <v>362</v>
      </c>
      <c r="C12" s="18" t="s">
        <v>271</v>
      </c>
      <c r="D12" s="351">
        <v>1095</v>
      </c>
      <c r="E12"/>
      <c r="F12"/>
      <c r="G12"/>
    </row>
    <row r="13" spans="1:7" s="1" customFormat="1" ht="15" customHeight="1">
      <c r="A13" s="124"/>
      <c r="B13" s="123" t="s">
        <v>363</v>
      </c>
      <c r="C13" s="18" t="s">
        <v>271</v>
      </c>
      <c r="D13" s="351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271</v>
      </c>
      <c r="D14" s="351">
        <v>741</v>
      </c>
      <c r="E14"/>
      <c r="F14"/>
      <c r="G14"/>
    </row>
    <row r="15" spans="1:7" s="1" customFormat="1" ht="15" customHeight="1">
      <c r="A15" s="121" t="s">
        <v>78</v>
      </c>
      <c r="B15" s="8" t="s">
        <v>263</v>
      </c>
      <c r="C15" s="7" t="s">
        <v>271</v>
      </c>
      <c r="D15" s="344">
        <v>498.5</v>
      </c>
      <c r="E15"/>
      <c r="F15"/>
      <c r="G15"/>
    </row>
    <row r="16" spans="1:7" s="1" customFormat="1" ht="15" customHeight="1">
      <c r="A16" s="121" t="s">
        <v>79</v>
      </c>
      <c r="B16" s="8" t="s">
        <v>262</v>
      </c>
      <c r="C16" s="7" t="s">
        <v>271</v>
      </c>
      <c r="D16" s="344">
        <v>360.7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271</v>
      </c>
      <c r="D17" s="344">
        <v>498.5</v>
      </c>
      <c r="E17"/>
      <c r="F17"/>
      <c r="G17"/>
    </row>
    <row r="18" spans="1:7" s="1" customFormat="1" ht="15" customHeight="1">
      <c r="A18" s="121" t="s">
        <v>81</v>
      </c>
      <c r="B18" s="8" t="s">
        <v>489</v>
      </c>
      <c r="C18" s="7" t="s">
        <v>490</v>
      </c>
      <c r="D18" s="344">
        <v>4601</v>
      </c>
      <c r="E18"/>
      <c r="F18"/>
      <c r="G18"/>
    </row>
    <row r="19" spans="1:7" s="1" customFormat="1" ht="15" customHeight="1">
      <c r="A19" s="121" t="s">
        <v>155</v>
      </c>
      <c r="B19" s="8" t="s">
        <v>314</v>
      </c>
      <c r="C19" s="7" t="s">
        <v>315</v>
      </c>
      <c r="D19" s="344">
        <v>36</v>
      </c>
      <c r="E19"/>
      <c r="F19"/>
      <c r="G19"/>
    </row>
    <row r="20" spans="1:7" s="1" customFormat="1" ht="15" customHeight="1">
      <c r="A20" s="121" t="s">
        <v>82</v>
      </c>
      <c r="B20" s="8" t="s">
        <v>317</v>
      </c>
      <c r="C20" s="7" t="s">
        <v>316</v>
      </c>
      <c r="D20" s="344">
        <v>78</v>
      </c>
      <c r="E20" s="792"/>
      <c r="F20"/>
      <c r="G20"/>
    </row>
    <row r="21" spans="1:7" s="1" customFormat="1" ht="27.75" customHeight="1">
      <c r="A21" s="121" t="s">
        <v>156</v>
      </c>
      <c r="B21" s="8" t="s">
        <v>318</v>
      </c>
      <c r="C21" s="7" t="s">
        <v>316</v>
      </c>
      <c r="D21" s="344">
        <v>2</v>
      </c>
      <c r="E21"/>
      <c r="F21"/>
      <c r="G21"/>
    </row>
    <row r="22" spans="1:7" s="1" customFormat="1" ht="15" customHeight="1">
      <c r="A22" s="121" t="s">
        <v>157</v>
      </c>
      <c r="B22" s="8" t="s">
        <v>319</v>
      </c>
      <c r="C22" s="7" t="s">
        <v>316</v>
      </c>
      <c r="D22" s="344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322</v>
      </c>
      <c r="C23" s="7" t="s">
        <v>316</v>
      </c>
      <c r="D23" s="344">
        <v>568</v>
      </c>
      <c r="E23"/>
      <c r="F23"/>
      <c r="G23"/>
    </row>
    <row r="24" spans="1:7" s="1" customFormat="1" ht="27.75" customHeight="1">
      <c r="A24" s="121" t="s">
        <v>89</v>
      </c>
      <c r="B24" s="8" t="s">
        <v>323</v>
      </c>
      <c r="C24" s="7" t="s">
        <v>169</v>
      </c>
      <c r="D24" s="344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324</v>
      </c>
      <c r="C25" s="7" t="s">
        <v>169</v>
      </c>
      <c r="D25" s="344">
        <v>4</v>
      </c>
      <c r="E25"/>
      <c r="F25"/>
      <c r="G25"/>
    </row>
    <row r="26" spans="1:7" s="1" customFormat="1" ht="15" customHeight="1">
      <c r="A26" s="121" t="s">
        <v>91</v>
      </c>
      <c r="B26" s="8" t="s">
        <v>320</v>
      </c>
      <c r="C26" s="7" t="s">
        <v>321</v>
      </c>
      <c r="D26" s="344">
        <v>152</v>
      </c>
      <c r="E26"/>
      <c r="F26"/>
      <c r="G26"/>
    </row>
    <row r="27" spans="1:7" s="1" customFormat="1" ht="15" customHeight="1">
      <c r="A27" s="121" t="s">
        <v>92</v>
      </c>
      <c r="B27" s="8" t="s">
        <v>325</v>
      </c>
      <c r="C27" s="7" t="s">
        <v>321</v>
      </c>
      <c r="D27" s="344">
        <v>0</v>
      </c>
      <c r="E27"/>
      <c r="F27"/>
      <c r="G27"/>
    </row>
    <row r="28" spans="1:7" s="1" customFormat="1" ht="15" customHeight="1">
      <c r="A28" s="121" t="s">
        <v>93</v>
      </c>
      <c r="B28" s="8" t="s">
        <v>326</v>
      </c>
      <c r="C28" s="7" t="s">
        <v>321</v>
      </c>
      <c r="D28" s="344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4">
        <v>48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4">
        <v>24</v>
      </c>
      <c r="E30"/>
      <c r="F30"/>
      <c r="G30"/>
    </row>
    <row r="31" spans="1:7" s="1" customFormat="1" ht="27" customHeight="1">
      <c r="A31" s="121" t="s">
        <v>96</v>
      </c>
      <c r="B31" s="8" t="s">
        <v>303</v>
      </c>
      <c r="C31" s="7" t="s">
        <v>282</v>
      </c>
      <c r="D31" s="849">
        <v>2000</v>
      </c>
      <c r="E31"/>
      <c r="F31"/>
      <c r="G31"/>
    </row>
    <row r="32" spans="1:7" s="1" customFormat="1" ht="27" customHeight="1">
      <c r="A32" s="121" t="s">
        <v>159</v>
      </c>
      <c r="B32" s="8" t="s">
        <v>416</v>
      </c>
      <c r="C32" s="7" t="s">
        <v>282</v>
      </c>
      <c r="D32" s="345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259</v>
      </c>
      <c r="C33" s="7" t="s">
        <v>169</v>
      </c>
      <c r="D33" s="344">
        <v>2</v>
      </c>
      <c r="E33"/>
      <c r="F33"/>
      <c r="G33"/>
    </row>
    <row r="34" spans="1:7" s="1" customFormat="1" ht="15" customHeight="1">
      <c r="A34" s="121" t="s">
        <v>307</v>
      </c>
      <c r="B34" s="8" t="s">
        <v>260</v>
      </c>
      <c r="C34" s="7" t="s">
        <v>169</v>
      </c>
      <c r="D34" s="344">
        <v>3</v>
      </c>
      <c r="E34"/>
      <c r="F34"/>
      <c r="G34"/>
    </row>
    <row r="35" spans="1:7" s="1" customFormat="1" ht="15" customHeight="1">
      <c r="A35" s="121" t="s">
        <v>308</v>
      </c>
      <c r="B35" s="8" t="s">
        <v>410</v>
      </c>
      <c r="C35" s="7" t="s">
        <v>271</v>
      </c>
      <c r="D35" s="894">
        <v>374</v>
      </c>
      <c r="E35"/>
      <c r="F35"/>
      <c r="G35"/>
    </row>
    <row r="36" spans="1:7" s="1" customFormat="1" ht="15" customHeight="1">
      <c r="A36" s="121" t="s">
        <v>161</v>
      </c>
      <c r="B36" s="8" t="s">
        <v>411</v>
      </c>
      <c r="C36" s="7" t="s">
        <v>271</v>
      </c>
      <c r="D36" s="344"/>
      <c r="E36"/>
      <c r="F36"/>
      <c r="G36"/>
    </row>
    <row r="37" spans="1:7" s="1" customFormat="1" ht="15" customHeight="1">
      <c r="A37" s="121" t="s">
        <v>97</v>
      </c>
      <c r="B37" s="8" t="s">
        <v>412</v>
      </c>
      <c r="C37" s="7" t="s">
        <v>271</v>
      </c>
      <c r="D37" s="344"/>
      <c r="E37"/>
      <c r="F37"/>
      <c r="G37"/>
    </row>
    <row r="38" spans="1:9" s="1" customFormat="1" ht="15" customHeight="1">
      <c r="A38" s="121" t="s">
        <v>98</v>
      </c>
      <c r="B38" s="8" t="s">
        <v>413</v>
      </c>
      <c r="C38" s="7" t="s">
        <v>271</v>
      </c>
      <c r="D38" s="344">
        <v>331.6</v>
      </c>
      <c r="E38"/>
      <c r="F38"/>
      <c r="G38"/>
      <c r="I38" s="1" t="s">
        <v>760</v>
      </c>
    </row>
    <row r="39" spans="1:9" s="1" customFormat="1" ht="15" customHeight="1">
      <c r="A39" s="121" t="s">
        <v>99</v>
      </c>
      <c r="B39" s="8" t="s">
        <v>414</v>
      </c>
      <c r="C39" s="7" t="s">
        <v>271</v>
      </c>
      <c r="D39" s="344"/>
      <c r="E39"/>
      <c r="F39"/>
      <c r="G39"/>
      <c r="H39" s="903"/>
      <c r="I39" s="903"/>
    </row>
    <row r="40" spans="1:7" s="1" customFormat="1" ht="15" customHeight="1">
      <c r="A40" s="121" t="s">
        <v>100</v>
      </c>
      <c r="B40" s="8" t="s">
        <v>415</v>
      </c>
      <c r="C40" s="7" t="s">
        <v>271</v>
      </c>
      <c r="D40" s="344"/>
      <c r="E40"/>
      <c r="F40"/>
      <c r="G40"/>
    </row>
    <row r="41" spans="1:7" s="1" customFormat="1" ht="15" customHeight="1">
      <c r="A41" s="121" t="s">
        <v>101</v>
      </c>
      <c r="B41" s="8" t="s">
        <v>409</v>
      </c>
      <c r="C41" s="7" t="s">
        <v>271</v>
      </c>
      <c r="D41" s="344">
        <v>1449.4</v>
      </c>
      <c r="E41"/>
      <c r="F41"/>
      <c r="G41"/>
    </row>
    <row r="42" spans="1:7" s="1" customFormat="1" ht="15" customHeight="1">
      <c r="A42" s="121" t="s">
        <v>102</v>
      </c>
      <c r="B42" s="9" t="s">
        <v>327</v>
      </c>
      <c r="C42" s="7"/>
      <c r="D42" s="344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328</v>
      </c>
      <c r="C43" s="7" t="s">
        <v>271</v>
      </c>
      <c r="D43" s="344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329</v>
      </c>
      <c r="C44" s="7" t="s">
        <v>169</v>
      </c>
      <c r="D44" s="344">
        <v>0</v>
      </c>
      <c r="E44"/>
      <c r="F44"/>
      <c r="G44"/>
    </row>
    <row r="45" spans="1:7" s="1" customFormat="1" ht="15" customHeight="1">
      <c r="A45" s="121" t="s">
        <v>309</v>
      </c>
      <c r="B45" s="8" t="s">
        <v>327</v>
      </c>
      <c r="C45" s="7" t="s">
        <v>169</v>
      </c>
      <c r="D45" s="344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330</v>
      </c>
      <c r="C46" s="7" t="s">
        <v>333</v>
      </c>
      <c r="D46" s="344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331</v>
      </c>
      <c r="C47" s="7" t="s">
        <v>169</v>
      </c>
      <c r="D47" s="344">
        <v>0</v>
      </c>
      <c r="E47"/>
      <c r="F47"/>
      <c r="G47"/>
    </row>
    <row r="48" spans="1:7" s="1" customFormat="1" ht="15" customHeight="1" thickBot="1">
      <c r="A48" s="455" t="s">
        <v>491</v>
      </c>
      <c r="B48" s="456" t="s">
        <v>332</v>
      </c>
      <c r="C48" s="457" t="s">
        <v>169</v>
      </c>
      <c r="D48" s="683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1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N57" sqref="N57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2.625" style="0" bestFit="1" customWidth="1"/>
  </cols>
  <sheetData>
    <row r="1" spans="1:13" s="6" customFormat="1" ht="18.75" thickBot="1">
      <c r="A1" s="911" t="s">
        <v>755</v>
      </c>
      <c r="B1" s="911"/>
      <c r="C1" s="911"/>
      <c r="D1" s="911"/>
      <c r="E1" s="911"/>
      <c r="F1" s="911"/>
      <c r="G1" s="911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433</v>
      </c>
      <c r="M2" s="26" t="s">
        <v>56</v>
      </c>
    </row>
    <row r="3" spans="1:13" ht="29.25" customHeight="1">
      <c r="A3" s="912" t="s">
        <v>0</v>
      </c>
      <c r="B3" s="914" t="s">
        <v>109</v>
      </c>
      <c r="C3" s="904" t="s">
        <v>432</v>
      </c>
      <c r="D3" s="904"/>
      <c r="E3" s="904"/>
      <c r="F3" s="904"/>
      <c r="G3" s="905"/>
      <c r="H3" s="906" t="s">
        <v>163</v>
      </c>
      <c r="I3" s="907"/>
      <c r="J3" s="907"/>
      <c r="K3" s="907"/>
      <c r="L3" s="908"/>
      <c r="M3" s="107"/>
    </row>
    <row r="4" spans="1:16" s="2" customFormat="1" ht="51">
      <c r="A4" s="913"/>
      <c r="B4" s="915"/>
      <c r="C4" s="7" t="s">
        <v>4</v>
      </c>
      <c r="D4" s="7" t="s">
        <v>478</v>
      </c>
      <c r="E4" s="7" t="s">
        <v>301</v>
      </c>
      <c r="F4" s="7" t="s">
        <v>290</v>
      </c>
      <c r="G4" s="546" t="s">
        <v>9</v>
      </c>
      <c r="H4" s="264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753</v>
      </c>
    </row>
    <row r="5" spans="1:14" s="2" customFormat="1" ht="15" customHeight="1" thickBot="1">
      <c r="A5" s="547"/>
      <c r="B5" s="457"/>
      <c r="C5" s="457"/>
      <c r="D5" s="457" t="s">
        <v>271</v>
      </c>
      <c r="E5" s="457" t="s">
        <v>271</v>
      </c>
      <c r="F5" s="457" t="s">
        <v>288</v>
      </c>
      <c r="G5" s="548" t="s">
        <v>56</v>
      </c>
      <c r="H5" s="251"/>
      <c r="I5" s="18"/>
      <c r="J5" s="312"/>
      <c r="K5" s="251"/>
      <c r="L5" s="96"/>
      <c r="M5" s="17"/>
      <c r="N5"/>
    </row>
    <row r="6" spans="1:14" s="2" customFormat="1" ht="16.5" customHeight="1" thickBot="1">
      <c r="A6" s="542">
        <v>1</v>
      </c>
      <c r="B6" s="543">
        <v>2</v>
      </c>
      <c r="C6" s="544">
        <v>3</v>
      </c>
      <c r="D6" s="252">
        <v>4</v>
      </c>
      <c r="E6" s="252">
        <v>5</v>
      </c>
      <c r="F6" s="252">
        <v>6</v>
      </c>
      <c r="G6" s="545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4" t="s">
        <v>271</v>
      </c>
      <c r="C7" s="720"/>
      <c r="D7" s="721">
        <f>'Исход дан'!D11</f>
        <v>1095</v>
      </c>
      <c r="E7" s="722"/>
      <c r="F7" s="722"/>
      <c r="G7" s="489"/>
      <c r="H7" s="237"/>
      <c r="I7" s="9">
        <f>D7</f>
        <v>1095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8"/>
      <c r="D8" s="221"/>
      <c r="E8" s="221"/>
      <c r="F8" s="221"/>
      <c r="G8" s="701"/>
      <c r="H8" s="264"/>
      <c r="I8" s="7"/>
      <c r="J8" s="7"/>
      <c r="K8" s="7"/>
      <c r="L8" s="13"/>
      <c r="M8" s="17"/>
      <c r="N8"/>
    </row>
    <row r="9" spans="1:14" s="1" customFormat="1" ht="21.75" customHeight="1">
      <c r="A9" s="88" t="s">
        <v>426</v>
      </c>
      <c r="B9" s="17" t="s">
        <v>271</v>
      </c>
      <c r="C9" s="478" t="s">
        <v>291</v>
      </c>
      <c r="D9" s="559">
        <f>'Исход дан'!D9</f>
        <v>54.9</v>
      </c>
      <c r="E9" s="221">
        <v>790</v>
      </c>
      <c r="F9" s="685">
        <f>D9/E9</f>
        <v>0.06949367088607594</v>
      </c>
      <c r="G9" s="701"/>
      <c r="H9" s="264"/>
      <c r="I9" s="7">
        <f>D9</f>
        <v>54.9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377</v>
      </c>
      <c r="B10" s="460"/>
      <c r="C10" s="493" t="s">
        <v>291</v>
      </c>
      <c r="D10" s="250" t="s">
        <v>291</v>
      </c>
      <c r="E10" s="250" t="s">
        <v>291</v>
      </c>
      <c r="F10" s="449">
        <v>1.12</v>
      </c>
      <c r="G10" s="702"/>
      <c r="H10" s="264"/>
      <c r="I10" s="7"/>
      <c r="J10" s="7"/>
      <c r="K10" s="85"/>
      <c r="L10" s="97"/>
      <c r="M10" s="17"/>
      <c r="N10"/>
    </row>
    <row r="11" spans="1:14" s="4" customFormat="1" ht="18.75" customHeight="1" thickBot="1">
      <c r="A11" s="374" t="s">
        <v>424</v>
      </c>
      <c r="B11" s="461" t="s">
        <v>288</v>
      </c>
      <c r="C11" s="723"/>
      <c r="D11" s="724"/>
      <c r="E11" s="724"/>
      <c r="F11" s="725">
        <f>F9*F10</f>
        <v>0.07783291139240506</v>
      </c>
      <c r="G11" s="375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3" t="s">
        <v>379</v>
      </c>
      <c r="B12" s="112" t="s">
        <v>292</v>
      </c>
      <c r="C12" s="790">
        <f>3500*1.25*1.06*1.06</f>
        <v>4915.75</v>
      </c>
      <c r="D12" s="494" t="s">
        <v>291</v>
      </c>
      <c r="E12" s="494" t="s">
        <v>291</v>
      </c>
      <c r="F12" s="684">
        <f>F11</f>
        <v>0.07783291139240506</v>
      </c>
      <c r="G12" s="703">
        <f>C12*F12*12</f>
        <v>4591.2856101265825</v>
      </c>
      <c r="H12" s="264">
        <f>C12</f>
        <v>4915.75</v>
      </c>
      <c r="I12" s="86">
        <f>I9</f>
        <v>54.9</v>
      </c>
      <c r="J12" s="7">
        <v>377.66</v>
      </c>
      <c r="K12" s="82">
        <f>I12*J12/100</f>
        <v>207.33534</v>
      </c>
      <c r="L12" s="99">
        <f>K12*12</f>
        <v>2488.02408</v>
      </c>
      <c r="M12" s="109">
        <f aca="true" t="shared" si="0" ref="M12:M19">G12-L12</f>
        <v>2103.2615301265823</v>
      </c>
      <c r="N12" s="909"/>
      <c r="O12" s="910"/>
      <c r="P12" s="910"/>
    </row>
    <row r="13" spans="1:14" s="1" customFormat="1" ht="15" customHeight="1">
      <c r="A13" s="88" t="s">
        <v>5</v>
      </c>
      <c r="B13" s="17" t="s">
        <v>196</v>
      </c>
      <c r="C13" s="727">
        <v>0.14</v>
      </c>
      <c r="D13" s="221" t="s">
        <v>291</v>
      </c>
      <c r="E13" s="221" t="s">
        <v>291</v>
      </c>
      <c r="F13" s="221" t="s">
        <v>291</v>
      </c>
      <c r="G13" s="704">
        <f>G12*14/100</f>
        <v>642.7799854177215</v>
      </c>
      <c r="H13" s="265">
        <f>C13</f>
        <v>0.14</v>
      </c>
      <c r="I13" s="7"/>
      <c r="J13" s="7">
        <v>188.83</v>
      </c>
      <c r="K13" s="82">
        <f>I12*J13/100</f>
        <v>103.66767</v>
      </c>
      <c r="L13" s="99">
        <f>K13*12</f>
        <v>1244.01204</v>
      </c>
      <c r="M13" s="109">
        <f t="shared" si="0"/>
        <v>-601.2320545822786</v>
      </c>
      <c r="N13"/>
    </row>
    <row r="14" spans="1:16" s="4" customFormat="1" ht="15" customHeight="1">
      <c r="A14" s="377" t="s">
        <v>10</v>
      </c>
      <c r="B14" s="468" t="s">
        <v>431</v>
      </c>
      <c r="C14" s="479" t="s">
        <v>291</v>
      </c>
      <c r="D14" s="477" t="s">
        <v>291</v>
      </c>
      <c r="E14" s="477" t="s">
        <v>291</v>
      </c>
      <c r="F14" s="477" t="s">
        <v>291</v>
      </c>
      <c r="G14" s="491">
        <f>G12+G13</f>
        <v>5234.0655955443035</v>
      </c>
      <c r="H14" s="237"/>
      <c r="I14" s="9"/>
      <c r="J14" s="9">
        <f>J12+J13</f>
        <v>566.49</v>
      </c>
      <c r="K14" s="87">
        <f>SUM(K12:K13)</f>
        <v>311.00301</v>
      </c>
      <c r="L14" s="100">
        <f>SUM(L12:L13)</f>
        <v>3732.03612</v>
      </c>
      <c r="M14" s="109">
        <f t="shared" si="0"/>
        <v>1502.0294755443033</v>
      </c>
      <c r="N14" s="872">
        <f>G14/12/1095</f>
        <v>0.398330715033813</v>
      </c>
      <c r="O14" s="4" t="s">
        <v>764</v>
      </c>
      <c r="P14" s="898">
        <f>N14+N36</f>
        <v>2.1517544492423655</v>
      </c>
    </row>
    <row r="15" spans="1:16" s="253" customFormat="1" ht="15" customHeight="1">
      <c r="A15" s="89" t="s">
        <v>12</v>
      </c>
      <c r="B15" s="462" t="s">
        <v>196</v>
      </c>
      <c r="C15" s="727">
        <v>0.202</v>
      </c>
      <c r="D15" s="221" t="s">
        <v>291</v>
      </c>
      <c r="E15" s="221" t="s">
        <v>291</v>
      </c>
      <c r="F15" s="221" t="s">
        <v>291</v>
      </c>
      <c r="G15" s="704">
        <f>G14*C15</f>
        <v>1057.2812502999493</v>
      </c>
      <c r="H15" s="321">
        <v>0.262</v>
      </c>
      <c r="I15" s="153"/>
      <c r="J15" s="153">
        <v>148.42</v>
      </c>
      <c r="K15" s="320">
        <f>I12*J15/100</f>
        <v>81.48257999999998</v>
      </c>
      <c r="L15" s="322">
        <f>K15*12</f>
        <v>977.7909599999998</v>
      </c>
      <c r="M15" s="323">
        <f t="shared" si="0"/>
        <v>79.49029029994949</v>
      </c>
      <c r="N15" s="872">
        <f>G15/12/1095</f>
        <v>0.08046280443683024</v>
      </c>
      <c r="O15" s="1" t="s">
        <v>765</v>
      </c>
      <c r="P15" s="899">
        <f>N15+N37</f>
        <v>0.4346543987469578</v>
      </c>
    </row>
    <row r="16" spans="1:16" s="253" customFormat="1" ht="15" customHeight="1">
      <c r="A16" s="89" t="s">
        <v>6</v>
      </c>
      <c r="B16" s="439" t="s">
        <v>300</v>
      </c>
      <c r="C16" s="728">
        <f>'спец инв'!H13</f>
        <v>561.3232</v>
      </c>
      <c r="D16" s="221" t="s">
        <v>291</v>
      </c>
      <c r="E16" s="221" t="s">
        <v>291</v>
      </c>
      <c r="F16" s="700">
        <f>F11</f>
        <v>0.07783291139240506</v>
      </c>
      <c r="G16" s="520">
        <f>C16*F16</f>
        <v>43.689418888101265</v>
      </c>
      <c r="H16" s="245">
        <v>14.51</v>
      </c>
      <c r="I16" s="153"/>
      <c r="J16" s="153">
        <v>2.63</v>
      </c>
      <c r="K16" s="324">
        <f>J16*I12/100</f>
        <v>1.44387</v>
      </c>
      <c r="L16" s="322">
        <f>K16*12</f>
        <v>17.326439999999998</v>
      </c>
      <c r="M16" s="323">
        <f t="shared" si="0"/>
        <v>26.362978888101267</v>
      </c>
      <c r="N16" s="872">
        <f>SUM(G16:G18)/12/1095</f>
        <v>0.024631211810646782</v>
      </c>
      <c r="O16" s="1" t="s">
        <v>766</v>
      </c>
      <c r="P16" s="899">
        <f>N16+N38</f>
        <v>0.23400639663866343</v>
      </c>
    </row>
    <row r="17" spans="1:14" s="253" customFormat="1" ht="15" customHeight="1">
      <c r="A17" s="89" t="s">
        <v>289</v>
      </c>
      <c r="B17" s="439" t="s">
        <v>300</v>
      </c>
      <c r="C17" s="728">
        <f>'спец инв'!H43</f>
        <v>2251.175</v>
      </c>
      <c r="D17" s="221" t="s">
        <v>291</v>
      </c>
      <c r="E17" s="221" t="s">
        <v>291</v>
      </c>
      <c r="F17" s="700">
        <f>F11</f>
        <v>0.07783291139240506</v>
      </c>
      <c r="G17" s="520">
        <f>C17*F17</f>
        <v>175.21550430379747</v>
      </c>
      <c r="H17" s="245">
        <v>21.86</v>
      </c>
      <c r="I17" s="153"/>
      <c r="J17" s="153">
        <v>6.59</v>
      </c>
      <c r="K17" s="324">
        <f>I12*J17/100</f>
        <v>3.61791</v>
      </c>
      <c r="L17" s="322">
        <f>K17*12</f>
        <v>43.41492</v>
      </c>
      <c r="M17" s="323">
        <f t="shared" si="0"/>
        <v>131.80058430379748</v>
      </c>
      <c r="N17" s="31"/>
    </row>
    <row r="18" spans="1:14" s="253" customFormat="1" ht="15" customHeight="1" thickBot="1">
      <c r="A18" s="368" t="s">
        <v>287</v>
      </c>
      <c r="B18" s="463" t="s">
        <v>293</v>
      </c>
      <c r="C18" s="728">
        <f>'спец инв'!H44</f>
        <v>1.9080000000000001</v>
      </c>
      <c r="D18" s="250">
        <f>D9</f>
        <v>54.9</v>
      </c>
      <c r="E18" s="250" t="s">
        <v>291</v>
      </c>
      <c r="F18" s="449" t="s">
        <v>291</v>
      </c>
      <c r="G18" s="705">
        <f>C18*D18</f>
        <v>104.7492</v>
      </c>
      <c r="H18" s="245"/>
      <c r="I18" s="153"/>
      <c r="J18" s="153"/>
      <c r="K18" s="324"/>
      <c r="L18" s="322"/>
      <c r="M18" s="323"/>
      <c r="N18" s="31"/>
    </row>
    <row r="19" spans="1:14" s="4" customFormat="1" ht="30.75" customHeight="1" thickBot="1">
      <c r="A19" s="314" t="s">
        <v>378</v>
      </c>
      <c r="B19" s="464"/>
      <c r="C19" s="480" t="s">
        <v>291</v>
      </c>
      <c r="D19" s="487" t="s">
        <v>291</v>
      </c>
      <c r="E19" s="487" t="s">
        <v>291</v>
      </c>
      <c r="F19" s="487" t="s">
        <v>291</v>
      </c>
      <c r="G19" s="706">
        <f>G14+G15+G16+G17+G18</f>
        <v>6615.000969036152</v>
      </c>
      <c r="H19" s="267"/>
      <c r="I19" s="119"/>
      <c r="J19" s="186">
        <f>SUM(J14:J18)</f>
        <v>724.13</v>
      </c>
      <c r="K19" s="186">
        <f>SUM(K14:K18)</f>
        <v>397.54737</v>
      </c>
      <c r="L19" s="187">
        <f>SUM(L14:L18)</f>
        <v>4770.56844</v>
      </c>
      <c r="M19" s="175">
        <f t="shared" si="0"/>
        <v>1844.4325290361521</v>
      </c>
      <c r="N19"/>
    </row>
    <row r="20" spans="1:14" s="1" customFormat="1" ht="15" customHeight="1">
      <c r="A20" s="179" t="s">
        <v>7</v>
      </c>
      <c r="B20" s="304"/>
      <c r="C20" s="482"/>
      <c r="D20" s="494"/>
      <c r="E20" s="494"/>
      <c r="F20" s="494"/>
      <c r="G20" s="707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429</v>
      </c>
      <c r="B21" s="17"/>
      <c r="C21" s="478"/>
      <c r="D21" s="221"/>
      <c r="E21" s="221"/>
      <c r="F21" s="221"/>
      <c r="G21" s="701"/>
      <c r="H21" s="264"/>
      <c r="I21" s="7"/>
      <c r="J21" s="7"/>
      <c r="K21" s="7"/>
      <c r="L21" s="13"/>
      <c r="M21" s="17"/>
      <c r="N21"/>
    </row>
    <row r="22" spans="1:14" s="1" customFormat="1" ht="15" customHeight="1">
      <c r="A22" s="444" t="s">
        <v>417</v>
      </c>
      <c r="B22" s="465"/>
      <c r="C22" s="478" t="s">
        <v>291</v>
      </c>
      <c r="D22" s="450">
        <f>'Исход дан'!D35</f>
        <v>374</v>
      </c>
      <c r="E22" s="450">
        <v>3630</v>
      </c>
      <c r="F22" s="685">
        <f>D22/E22</f>
        <v>0.10303030303030303</v>
      </c>
      <c r="G22" s="708"/>
      <c r="H22" s="268">
        <v>6.5</v>
      </c>
      <c r="I22" s="225">
        <f>D22</f>
        <v>374</v>
      </c>
      <c r="J22" s="225">
        <v>215.67</v>
      </c>
      <c r="K22" s="226">
        <f>J22*I22/100</f>
        <v>806.6058</v>
      </c>
      <c r="L22" s="229">
        <f>K22*H22</f>
        <v>5242.9377</v>
      </c>
      <c r="M22" s="227"/>
      <c r="N22"/>
    </row>
    <row r="23" spans="1:16" s="1" customFormat="1" ht="15" customHeight="1">
      <c r="A23" s="444" t="s">
        <v>418</v>
      </c>
      <c r="B23" s="465"/>
      <c r="C23" s="478" t="s">
        <v>291</v>
      </c>
      <c r="D23" s="450">
        <f>'Исход дан'!D36</f>
        <v>0</v>
      </c>
      <c r="E23" s="450">
        <v>3080</v>
      </c>
      <c r="F23" s="685">
        <f>D23/E23</f>
        <v>0</v>
      </c>
      <c r="G23" s="708"/>
      <c r="H23" s="269">
        <v>5.5</v>
      </c>
      <c r="I23" s="223">
        <f>I22</f>
        <v>374</v>
      </c>
      <c r="J23" s="223">
        <v>650.95</v>
      </c>
      <c r="K23" s="224">
        <f>J23*I23/100</f>
        <v>2434.5530000000003</v>
      </c>
      <c r="L23" s="230">
        <f>K23*H23</f>
        <v>13390.041500000001</v>
      </c>
      <c r="M23" s="228"/>
      <c r="N23"/>
      <c r="P23" s="1" t="s">
        <v>428</v>
      </c>
    </row>
    <row r="24" spans="1:14" s="1" customFormat="1" ht="15" customHeight="1">
      <c r="A24" s="444" t="s">
        <v>419</v>
      </c>
      <c r="B24" s="465"/>
      <c r="C24" s="478" t="s">
        <v>291</v>
      </c>
      <c r="D24" s="450">
        <f>'Исход дан'!D37</f>
        <v>0</v>
      </c>
      <c r="E24" s="450">
        <v>2500</v>
      </c>
      <c r="F24" s="685">
        <f>D24/E24</f>
        <v>0</v>
      </c>
      <c r="G24" s="708"/>
      <c r="H24" s="264"/>
      <c r="I24" s="7"/>
      <c r="J24" s="7"/>
      <c r="K24" s="10"/>
      <c r="L24" s="122"/>
      <c r="M24" s="17"/>
      <c r="N24"/>
    </row>
    <row r="25" spans="1:14" s="1" customFormat="1" ht="15" customHeight="1">
      <c r="A25" s="444"/>
      <c r="B25" s="465"/>
      <c r="C25" s="478"/>
      <c r="D25" s="450"/>
      <c r="E25" s="450"/>
      <c r="F25" s="729"/>
      <c r="G25" s="708"/>
      <c r="H25" s="264"/>
      <c r="I25" s="7"/>
      <c r="J25" s="7"/>
      <c r="K25" s="10"/>
      <c r="L25" s="122"/>
      <c r="M25" s="17"/>
      <c r="N25"/>
    </row>
    <row r="26" spans="1:14" s="1" customFormat="1" ht="15" customHeight="1">
      <c r="A26" s="444" t="s">
        <v>420</v>
      </c>
      <c r="B26" s="465"/>
      <c r="C26" s="478" t="s">
        <v>291</v>
      </c>
      <c r="D26" s="450">
        <f>'Исход дан'!D38</f>
        <v>331.6</v>
      </c>
      <c r="E26" s="450">
        <v>2340</v>
      </c>
      <c r="F26" s="685">
        <f>D26/E26</f>
        <v>0.14170940170940172</v>
      </c>
      <c r="G26" s="708"/>
      <c r="H26" s="268">
        <v>6.5</v>
      </c>
      <c r="I26" s="225">
        <f>D26</f>
        <v>331.6</v>
      </c>
      <c r="J26" s="225">
        <v>279.99</v>
      </c>
      <c r="K26" s="226">
        <f>J26*I26/100</f>
        <v>928.4468400000001</v>
      </c>
      <c r="L26" s="229">
        <f>K26*H26</f>
        <v>6034.904460000001</v>
      </c>
      <c r="M26" s="227"/>
      <c r="N26"/>
    </row>
    <row r="27" spans="1:14" s="1" customFormat="1" ht="15" customHeight="1">
      <c r="A27" s="444" t="s">
        <v>421</v>
      </c>
      <c r="B27" s="465"/>
      <c r="C27" s="478" t="s">
        <v>291</v>
      </c>
      <c r="D27" s="450">
        <f>'Исход дан'!D39</f>
        <v>0</v>
      </c>
      <c r="E27" s="450">
        <v>1980</v>
      </c>
      <c r="F27" s="685">
        <f>D27/E27</f>
        <v>0</v>
      </c>
      <c r="G27" s="708"/>
      <c r="H27" s="269">
        <v>5.5</v>
      </c>
      <c r="I27" s="223">
        <f>I26</f>
        <v>331.6</v>
      </c>
      <c r="J27" s="223">
        <v>931.98</v>
      </c>
      <c r="K27" s="224">
        <f>J27*I27/100</f>
        <v>3090.4456800000003</v>
      </c>
      <c r="L27" s="230">
        <f>K27*H27</f>
        <v>16997.451240000002</v>
      </c>
      <c r="M27" s="228"/>
      <c r="N27"/>
    </row>
    <row r="28" spans="1:14" s="1" customFormat="1" ht="15" customHeight="1">
      <c r="A28" s="444" t="s">
        <v>422</v>
      </c>
      <c r="B28" s="465"/>
      <c r="C28" s="478" t="s">
        <v>291</v>
      </c>
      <c r="D28" s="450">
        <f>'Исход дан'!D40</f>
        <v>0</v>
      </c>
      <c r="E28" s="450">
        <v>1610</v>
      </c>
      <c r="F28" s="685">
        <f>D28/E28</f>
        <v>0</v>
      </c>
      <c r="G28" s="708"/>
      <c r="H28" s="264"/>
      <c r="I28" s="7"/>
      <c r="J28" s="7"/>
      <c r="K28" s="10"/>
      <c r="L28" s="122"/>
      <c r="M28" s="17"/>
      <c r="N28"/>
    </row>
    <row r="29" spans="1:14" s="1" customFormat="1" ht="15" customHeight="1">
      <c r="A29" s="444"/>
      <c r="B29" s="465"/>
      <c r="C29" s="478"/>
      <c r="D29" s="450"/>
      <c r="E29" s="450"/>
      <c r="F29" s="729"/>
      <c r="G29" s="708"/>
      <c r="H29" s="264"/>
      <c r="I29" s="7"/>
      <c r="J29" s="7"/>
      <c r="K29" s="10"/>
      <c r="L29" s="122"/>
      <c r="M29" s="17"/>
      <c r="N29"/>
    </row>
    <row r="30" spans="1:14" s="1" customFormat="1" ht="15" customHeight="1">
      <c r="A30" s="444" t="s">
        <v>423</v>
      </c>
      <c r="B30" s="465"/>
      <c r="C30" s="478" t="s">
        <v>291</v>
      </c>
      <c r="D30" s="450">
        <f>'Исход дан'!D41</f>
        <v>1449.4</v>
      </c>
      <c r="E30" s="450">
        <v>30000</v>
      </c>
      <c r="F30" s="685">
        <f>D30/E30</f>
        <v>0.04831333333333333</v>
      </c>
      <c r="G30" s="708"/>
      <c r="H30" s="268">
        <v>6.5</v>
      </c>
      <c r="I30" s="225">
        <f>D30</f>
        <v>1449.4</v>
      </c>
      <c r="J30" s="225">
        <v>77.76</v>
      </c>
      <c r="K30" s="226">
        <f>J30*I30/100</f>
        <v>1127.0534400000001</v>
      </c>
      <c r="L30" s="229">
        <f>K30*H30</f>
        <v>7325.847360000001</v>
      </c>
      <c r="M30" s="227"/>
      <c r="N30"/>
    </row>
    <row r="31" spans="1:14" s="5" customFormat="1" ht="15" customHeight="1">
      <c r="A31" s="445" t="s">
        <v>427</v>
      </c>
      <c r="B31" s="466" t="s">
        <v>288</v>
      </c>
      <c r="C31" s="478" t="s">
        <v>291</v>
      </c>
      <c r="D31" s="221" t="s">
        <v>291</v>
      </c>
      <c r="E31" s="221" t="s">
        <v>291</v>
      </c>
      <c r="F31" s="730">
        <f>F22+F23+F24+F26+F27+F28+F30</f>
        <v>0.29305303807303806</v>
      </c>
      <c r="G31" s="490"/>
      <c r="H31" s="270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6" t="s">
        <v>372</v>
      </c>
      <c r="B32" s="467"/>
      <c r="C32" s="478" t="s">
        <v>291</v>
      </c>
      <c r="D32" s="221" t="s">
        <v>291</v>
      </c>
      <c r="E32" s="221" t="s">
        <v>291</v>
      </c>
      <c r="F32" s="731">
        <v>1.12</v>
      </c>
      <c r="G32" s="709"/>
      <c r="H32" s="245"/>
      <c r="I32" s="32"/>
      <c r="J32" s="32"/>
      <c r="K32" s="84"/>
      <c r="L32" s="102"/>
      <c r="M32" s="325"/>
    </row>
    <row r="33" spans="1:14" s="5" customFormat="1" ht="18.75" customHeight="1" thickBot="1">
      <c r="A33" s="374" t="s">
        <v>425</v>
      </c>
      <c r="B33" s="461"/>
      <c r="C33" s="481" t="s">
        <v>291</v>
      </c>
      <c r="D33" s="451" t="s">
        <v>291</v>
      </c>
      <c r="E33" s="451" t="s">
        <v>291</v>
      </c>
      <c r="F33" s="560">
        <f>F31*F32</f>
        <v>0.32821940264180266</v>
      </c>
      <c r="G33" s="379"/>
      <c r="H33" s="271"/>
      <c r="I33" s="188"/>
      <c r="J33" s="188"/>
      <c r="K33" s="190"/>
      <c r="L33" s="189"/>
      <c r="M33" s="191"/>
      <c r="N33"/>
    </row>
    <row r="34" spans="1:14" ht="24.75" customHeight="1">
      <c r="A34" s="313" t="s">
        <v>379</v>
      </c>
      <c r="B34" s="112" t="s">
        <v>294</v>
      </c>
      <c r="C34" s="790">
        <f>3500*1.25*1.06*1.06</f>
        <v>4915.75</v>
      </c>
      <c r="D34" s="221" t="s">
        <v>291</v>
      </c>
      <c r="E34" s="221" t="s">
        <v>291</v>
      </c>
      <c r="F34" s="684">
        <f>F33</f>
        <v>0.32821940264180266</v>
      </c>
      <c r="G34" s="710">
        <f>C34*F34*12</f>
        <v>19361.334342437294</v>
      </c>
      <c r="H34" s="264">
        <f>C34</f>
        <v>4915.75</v>
      </c>
      <c r="I34" s="7"/>
      <c r="J34" s="7"/>
      <c r="K34" s="82"/>
      <c r="L34" s="105"/>
      <c r="M34" s="109"/>
      <c r="N34" s="373"/>
    </row>
    <row r="35" spans="1:13" ht="15" customHeight="1" thickBot="1">
      <c r="A35" s="92" t="s">
        <v>5</v>
      </c>
      <c r="B35" s="460" t="s">
        <v>196</v>
      </c>
      <c r="C35" s="483">
        <v>0.19</v>
      </c>
      <c r="D35" s="221" t="s">
        <v>291</v>
      </c>
      <c r="E35" s="221" t="s">
        <v>291</v>
      </c>
      <c r="F35" s="221" t="s">
        <v>291</v>
      </c>
      <c r="G35" s="711">
        <f>G34*C35</f>
        <v>3678.653525063086</v>
      </c>
      <c r="H35" s="272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7" t="s">
        <v>10</v>
      </c>
      <c r="B36" s="468" t="s">
        <v>431</v>
      </c>
      <c r="C36" s="479" t="s">
        <v>291</v>
      </c>
      <c r="D36" s="477" t="s">
        <v>291</v>
      </c>
      <c r="E36" s="477" t="s">
        <v>291</v>
      </c>
      <c r="F36" s="477" t="s">
        <v>291</v>
      </c>
      <c r="G36" s="491">
        <f>G34+G35</f>
        <v>23039.98786750038</v>
      </c>
      <c r="H36" s="273"/>
      <c r="I36" s="116"/>
      <c r="J36" s="116"/>
      <c r="K36" s="176"/>
      <c r="L36" s="180"/>
      <c r="M36" s="181"/>
      <c r="N36" s="872">
        <f>G36/12/1095</f>
        <v>1.7534237342085524</v>
      </c>
    </row>
    <row r="37" spans="1:14" s="22" customFormat="1" ht="15" customHeight="1" thickBot="1">
      <c r="A37" s="446" t="s">
        <v>13</v>
      </c>
      <c r="B37" s="467" t="s">
        <v>196</v>
      </c>
      <c r="C37" s="484">
        <v>0.202</v>
      </c>
      <c r="D37" s="221" t="s">
        <v>291</v>
      </c>
      <c r="E37" s="221" t="s">
        <v>291</v>
      </c>
      <c r="F37" s="221" t="s">
        <v>291</v>
      </c>
      <c r="G37" s="712">
        <f>G36*C37</f>
        <v>4654.077549235077</v>
      </c>
      <c r="H37" s="336">
        <v>0.262</v>
      </c>
      <c r="I37" s="334"/>
      <c r="J37" s="334"/>
      <c r="K37" s="335"/>
      <c r="L37" s="337"/>
      <c r="M37" s="338"/>
      <c r="N37" s="872">
        <f>G37/12/1095</f>
        <v>0.3541915943101276</v>
      </c>
    </row>
    <row r="38" spans="1:14" s="22" customFormat="1" ht="15" customHeight="1" thickBot="1">
      <c r="A38" s="446" t="s">
        <v>295</v>
      </c>
      <c r="B38" s="439" t="s">
        <v>300</v>
      </c>
      <c r="C38" s="728">
        <f>'спец инв'!H22</f>
        <v>1246.242</v>
      </c>
      <c r="D38" s="450" t="s">
        <v>291</v>
      </c>
      <c r="E38" s="450" t="s">
        <v>291</v>
      </c>
      <c r="F38" s="685">
        <f>F33</f>
        <v>0.32821940264180266</v>
      </c>
      <c r="G38" s="713">
        <f>C38*F38</f>
        <v>409.0408047871254</v>
      </c>
      <c r="H38" s="329"/>
      <c r="I38" s="328"/>
      <c r="J38" s="328"/>
      <c r="K38" s="328"/>
      <c r="L38" s="326"/>
      <c r="M38" s="330"/>
      <c r="N38" s="872">
        <f>SUM(G38:G41)/12/1095</f>
        <v>0.20937518482801665</v>
      </c>
    </row>
    <row r="39" spans="1:13" s="22" customFormat="1" ht="15" customHeight="1" thickBot="1">
      <c r="A39" s="446" t="s">
        <v>296</v>
      </c>
      <c r="B39" s="439" t="s">
        <v>300</v>
      </c>
      <c r="C39" s="728">
        <f>'спец инв'!H69</f>
        <v>2813.9908333333333</v>
      </c>
      <c r="D39" s="450" t="s">
        <v>291</v>
      </c>
      <c r="E39" s="450" t="s">
        <v>291</v>
      </c>
      <c r="F39" s="685">
        <f>F33</f>
        <v>0.32821940264180266</v>
      </c>
      <c r="G39" s="713">
        <f>C39*F39</f>
        <v>923.6063903561751</v>
      </c>
      <c r="H39" s="329"/>
      <c r="I39" s="331"/>
      <c r="J39" s="328"/>
      <c r="K39" s="328"/>
      <c r="L39" s="326"/>
      <c r="M39" s="330"/>
    </row>
    <row r="40" spans="1:13" s="22" customFormat="1" ht="15" customHeight="1" thickBot="1">
      <c r="A40" s="446" t="s">
        <v>297</v>
      </c>
      <c r="B40" s="439" t="s">
        <v>300</v>
      </c>
      <c r="C40" s="728">
        <f>'спец инв'!H56</f>
        <v>2528.20865</v>
      </c>
      <c r="D40" s="450" t="s">
        <v>291</v>
      </c>
      <c r="E40" s="450" t="s">
        <v>291</v>
      </c>
      <c r="F40" s="685">
        <f>F33</f>
        <v>0.32821940264180266</v>
      </c>
      <c r="G40" s="713">
        <f>C40*F40</f>
        <v>829.8071328568384</v>
      </c>
      <c r="H40" s="329"/>
      <c r="I40" s="331"/>
      <c r="J40" s="328"/>
      <c r="K40" s="328"/>
      <c r="L40" s="326"/>
      <c r="M40" s="330"/>
    </row>
    <row r="41" spans="1:13" s="22" customFormat="1" ht="15" customHeight="1" thickBot="1">
      <c r="A41" s="446" t="s">
        <v>298</v>
      </c>
      <c r="B41" s="439" t="s">
        <v>404</v>
      </c>
      <c r="C41" s="485" t="s">
        <v>291</v>
      </c>
      <c r="D41" s="450" t="s">
        <v>291</v>
      </c>
      <c r="E41" s="450" t="s">
        <v>291</v>
      </c>
      <c r="F41" s="450" t="s">
        <v>291</v>
      </c>
      <c r="G41" s="713">
        <f>'спец инв'!K71</f>
        <v>588.7356006400001</v>
      </c>
      <c r="H41" s="333"/>
      <c r="I41" s="327"/>
      <c r="J41" s="328"/>
      <c r="K41" s="328"/>
      <c r="L41" s="332"/>
      <c r="M41" s="330"/>
    </row>
    <row r="42" spans="1:14" s="5" customFormat="1" ht="30.75" customHeight="1" thickBot="1">
      <c r="A42" s="314" t="s">
        <v>382</v>
      </c>
      <c r="B42" s="464"/>
      <c r="C42" s="480" t="s">
        <v>291</v>
      </c>
      <c r="D42" s="487" t="s">
        <v>291</v>
      </c>
      <c r="E42" s="487" t="s">
        <v>291</v>
      </c>
      <c r="F42" s="487" t="s">
        <v>291</v>
      </c>
      <c r="G42" s="714">
        <f>G36+G37+G38+G39+G40+G41</f>
        <v>30445.25534537559</v>
      </c>
      <c r="H42" s="273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4"/>
      <c r="C43" s="482"/>
      <c r="D43" s="494"/>
      <c r="E43" s="494"/>
      <c r="F43" s="296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383</v>
      </c>
      <c r="B44" s="17"/>
      <c r="C44" s="450" t="s">
        <v>291</v>
      </c>
      <c r="D44" s="221">
        <f>'Исход дан'!D7</f>
        <v>55</v>
      </c>
      <c r="E44" s="221"/>
      <c r="F44" s="685" t="e">
        <f>D44/E44</f>
        <v>#DIV/0!</v>
      </c>
      <c r="G44" s="701"/>
      <c r="H44" s="264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373</v>
      </c>
      <c r="B45" s="17"/>
      <c r="C45" s="450" t="s">
        <v>291</v>
      </c>
      <c r="D45" s="450" t="s">
        <v>291</v>
      </c>
      <c r="E45" s="450" t="s">
        <v>291</v>
      </c>
      <c r="F45" s="732">
        <v>1.12</v>
      </c>
      <c r="G45" s="701"/>
      <c r="H45" s="264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1" t="s">
        <v>430</v>
      </c>
      <c r="B46" s="469"/>
      <c r="C46" s="733"/>
      <c r="D46" s="734"/>
      <c r="E46" s="734"/>
      <c r="F46" s="735" t="e">
        <f>F44*F45</f>
        <v>#DIV/0!</v>
      </c>
      <c r="G46" s="715"/>
      <c r="H46" s="356"/>
      <c r="I46" s="355"/>
      <c r="J46" s="355"/>
      <c r="K46" s="357">
        <f>SUM(K44:K45)</f>
        <v>0</v>
      </c>
      <c r="L46" s="358"/>
      <c r="M46" s="359"/>
      <c r="N46" s="260"/>
    </row>
    <row r="47" spans="1:14" s="1" customFormat="1" ht="25.5" customHeight="1">
      <c r="A47" s="88" t="s">
        <v>379</v>
      </c>
      <c r="B47" s="17" t="s">
        <v>294</v>
      </c>
      <c r="C47" s="478"/>
      <c r="D47" s="221" t="s">
        <v>291</v>
      </c>
      <c r="E47" s="221" t="s">
        <v>291</v>
      </c>
      <c r="F47" s="684" t="e">
        <f>F46</f>
        <v>#DIV/0!</v>
      </c>
      <c r="G47" s="704" t="e">
        <f>C47*F47*12</f>
        <v>#DIV/0!</v>
      </c>
      <c r="H47" s="264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6"/>
      <c r="D48" s="221" t="s">
        <v>291</v>
      </c>
      <c r="E48" s="221" t="s">
        <v>291</v>
      </c>
      <c r="F48" s="221" t="s">
        <v>291</v>
      </c>
      <c r="G48" s="704" t="e">
        <f>G47*C48</f>
        <v>#DIV/0!</v>
      </c>
      <c r="H48" s="265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7" t="s">
        <v>10</v>
      </c>
      <c r="B49" s="468" t="s">
        <v>431</v>
      </c>
      <c r="C49" s="479" t="s">
        <v>291</v>
      </c>
      <c r="D49" s="477" t="s">
        <v>291</v>
      </c>
      <c r="E49" s="477" t="s">
        <v>291</v>
      </c>
      <c r="F49" s="477" t="s">
        <v>291</v>
      </c>
      <c r="G49" s="491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7"/>
      <c r="D50" s="221" t="s">
        <v>291</v>
      </c>
      <c r="E50" s="221" t="s">
        <v>291</v>
      </c>
      <c r="F50" s="221" t="s">
        <v>291</v>
      </c>
      <c r="G50" s="704">
        <f>G49*C50</f>
        <v>0</v>
      </c>
      <c r="H50" s="266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9" t="s">
        <v>300</v>
      </c>
      <c r="C51" s="728">
        <f>'спец инв'!H30</f>
        <v>0</v>
      </c>
      <c r="D51" s="452" t="s">
        <v>291</v>
      </c>
      <c r="E51" s="452" t="s">
        <v>291</v>
      </c>
      <c r="F51" s="741" t="e">
        <f>F46</f>
        <v>#DIV/0!</v>
      </c>
      <c r="G51" s="492" t="e">
        <f>C51*F51</f>
        <v>#DIV/0!</v>
      </c>
      <c r="H51" s="274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9" t="s">
        <v>300</v>
      </c>
      <c r="C52" s="736">
        <f>'спец инв'!H79</f>
        <v>0</v>
      </c>
      <c r="D52" s="452" t="s">
        <v>291</v>
      </c>
      <c r="E52" s="452" t="s">
        <v>291</v>
      </c>
      <c r="F52" s="741" t="e">
        <f>F46</f>
        <v>#DIV/0!</v>
      </c>
      <c r="G52" s="492" t="e">
        <f>C52*F52</f>
        <v>#DIV/0!</v>
      </c>
      <c r="H52" s="274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8" t="s">
        <v>55</v>
      </c>
      <c r="B53" s="470"/>
      <c r="C53" s="737" t="s">
        <v>291</v>
      </c>
      <c r="D53" s="452" t="s">
        <v>291</v>
      </c>
      <c r="E53" s="452" t="s">
        <v>291</v>
      </c>
      <c r="F53" s="221" t="s">
        <v>291</v>
      </c>
      <c r="G53" s="705">
        <f>'спец инв'!K95</f>
        <v>0</v>
      </c>
      <c r="H53" s="274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4" t="s">
        <v>380</v>
      </c>
      <c r="B54" s="464"/>
      <c r="C54" s="480" t="s">
        <v>291</v>
      </c>
      <c r="D54" s="487" t="s">
        <v>291</v>
      </c>
      <c r="E54" s="487" t="s">
        <v>291</v>
      </c>
      <c r="F54" s="487" t="s">
        <v>291</v>
      </c>
      <c r="G54" s="716">
        <v>0</v>
      </c>
      <c r="H54" s="276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5" t="str">
        <f>'спец инв'!A96</f>
        <v>Мыло хозяйственное</v>
      </c>
      <c r="B55" s="471"/>
      <c r="C55" s="737" t="s">
        <v>291</v>
      </c>
      <c r="D55" s="452" t="s">
        <v>291</v>
      </c>
      <c r="E55" s="452" t="s">
        <v>291</v>
      </c>
      <c r="F55" s="221" t="s">
        <v>291</v>
      </c>
      <c r="G55" s="717">
        <f>'спец инв'!K96</f>
        <v>46.068</v>
      </c>
      <c r="H55" s="362"/>
      <c r="I55" s="360"/>
      <c r="J55" s="360"/>
      <c r="K55" s="361"/>
      <c r="L55" s="363"/>
      <c r="M55" s="364"/>
      <c r="N55" s="365"/>
    </row>
    <row r="56" spans="1:14" s="21" customFormat="1" ht="15" customHeight="1" thickBot="1">
      <c r="A56" s="476" t="str">
        <f>'спец инв'!A97</f>
        <v>Эл/лампочки</v>
      </c>
      <c r="B56" s="472"/>
      <c r="C56" s="737" t="s">
        <v>291</v>
      </c>
      <c r="D56" s="452" t="s">
        <v>291</v>
      </c>
      <c r="E56" s="452" t="s">
        <v>291</v>
      </c>
      <c r="F56" s="250" t="s">
        <v>291</v>
      </c>
      <c r="G56" s="705">
        <f>'спец инв'!K97</f>
        <v>170</v>
      </c>
      <c r="H56" s="362"/>
      <c r="I56" s="360"/>
      <c r="J56" s="360"/>
      <c r="K56" s="361"/>
      <c r="L56" s="363"/>
      <c r="M56" s="364"/>
      <c r="N56" s="365"/>
    </row>
    <row r="57" spans="1:14" s="21" customFormat="1" ht="15" customHeight="1" thickBot="1">
      <c r="A57" s="447" t="str">
        <f>'спец инв'!A98</f>
        <v>Лампа над подъездом</v>
      </c>
      <c r="B57" s="473"/>
      <c r="C57" s="738" t="s">
        <v>291</v>
      </c>
      <c r="D57" s="459" t="s">
        <v>291</v>
      </c>
      <c r="E57" s="459" t="s">
        <v>291</v>
      </c>
      <c r="F57" s="221" t="s">
        <v>291</v>
      </c>
      <c r="G57" s="520">
        <f>'спец инв'!K98</f>
        <v>120</v>
      </c>
      <c r="H57" s="362"/>
      <c r="I57" s="360"/>
      <c r="J57" s="360"/>
      <c r="K57" s="361"/>
      <c r="L57" s="363"/>
      <c r="M57" s="364"/>
      <c r="N57" s="365"/>
    </row>
    <row r="58" spans="1:16" s="21" customFormat="1" ht="15" customHeight="1" thickBot="1">
      <c r="A58" s="447" t="s">
        <v>508</v>
      </c>
      <c r="B58" s="473"/>
      <c r="C58" s="738"/>
      <c r="D58" s="459"/>
      <c r="E58" s="459"/>
      <c r="F58" s="221"/>
      <c r="G58" s="520">
        <v>2949</v>
      </c>
      <c r="H58" s="362"/>
      <c r="I58" s="360"/>
      <c r="J58" s="360"/>
      <c r="K58" s="361"/>
      <c r="L58" s="363"/>
      <c r="M58" s="364"/>
      <c r="N58" s="365"/>
      <c r="P58" s="22"/>
    </row>
    <row r="59" spans="1:16" s="21" customFormat="1" ht="29.25" customHeight="1" thickBot="1">
      <c r="A59" s="458" t="s">
        <v>381</v>
      </c>
      <c r="B59" s="468" t="s">
        <v>431</v>
      </c>
      <c r="C59" s="486" t="s">
        <v>291</v>
      </c>
      <c r="D59" s="488" t="s">
        <v>291</v>
      </c>
      <c r="E59" s="488" t="s">
        <v>291</v>
      </c>
      <c r="F59" s="488" t="s">
        <v>291</v>
      </c>
      <c r="G59" s="718">
        <f>G55+G56+G57+G58</f>
        <v>3285.068</v>
      </c>
      <c r="H59" s="362"/>
      <c r="I59" s="360"/>
      <c r="J59" s="360"/>
      <c r="K59" s="361"/>
      <c r="L59" s="363"/>
      <c r="M59" s="364"/>
      <c r="N59" s="365"/>
      <c r="P59" s="22"/>
    </row>
    <row r="60" spans="1:14" s="5" customFormat="1" ht="31.5" customHeight="1" thickBot="1">
      <c r="A60" s="376" t="s">
        <v>384</v>
      </c>
      <c r="B60" s="474"/>
      <c r="C60" s="739" t="s">
        <v>291</v>
      </c>
      <c r="D60" s="497" t="s">
        <v>291</v>
      </c>
      <c r="E60" s="497" t="s">
        <v>291</v>
      </c>
      <c r="F60" s="498" t="s">
        <v>291</v>
      </c>
      <c r="G60" s="719">
        <f>G19+G42+G59</f>
        <v>40345.324314411744</v>
      </c>
      <c r="H60" s="277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5" t="s">
        <v>59</v>
      </c>
      <c r="B61" s="496"/>
      <c r="C61" s="740" t="s">
        <v>291</v>
      </c>
      <c r="D61" s="499" t="s">
        <v>291</v>
      </c>
      <c r="E61" s="499" t="s">
        <v>291</v>
      </c>
      <c r="F61" s="500" t="s">
        <v>291</v>
      </c>
      <c r="G61" s="686">
        <f>G60/D7/12</f>
        <v>3.0704204196660387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7" sqref="G7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2" t="s">
        <v>756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434</v>
      </c>
    </row>
    <row r="3" spans="1:132" s="2" customFormat="1" ht="84" customHeight="1">
      <c r="A3" s="920" t="s">
        <v>0</v>
      </c>
      <c r="B3" s="156" t="s">
        <v>112</v>
      </c>
      <c r="C3" s="916" t="s">
        <v>2</v>
      </c>
      <c r="D3" s="916"/>
      <c r="E3" s="916" t="s">
        <v>264</v>
      </c>
      <c r="F3" s="41" t="s">
        <v>385</v>
      </c>
      <c r="G3" s="126" t="s">
        <v>285</v>
      </c>
      <c r="H3" s="204" t="s">
        <v>284</v>
      </c>
      <c r="I3" s="918" t="s">
        <v>43</v>
      </c>
      <c r="J3" s="919"/>
      <c r="K3" s="204" t="s">
        <v>286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1"/>
      <c r="B4" s="157"/>
      <c r="C4" s="531" t="s">
        <v>265</v>
      </c>
      <c r="D4" s="531" t="s">
        <v>14</v>
      </c>
      <c r="E4" s="917"/>
      <c r="F4" s="531" t="s">
        <v>395</v>
      </c>
      <c r="G4" s="532" t="s">
        <v>367</v>
      </c>
      <c r="H4" s="533" t="s">
        <v>396</v>
      </c>
      <c r="I4" s="534" t="s">
        <v>486</v>
      </c>
      <c r="J4" s="532" t="s">
        <v>397</v>
      </c>
      <c r="K4" s="533" t="s">
        <v>398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0">
        <v>2</v>
      </c>
      <c r="C5" s="19">
        <v>3</v>
      </c>
      <c r="D5" s="19">
        <v>4</v>
      </c>
      <c r="E5" s="58">
        <v>5</v>
      </c>
      <c r="F5" s="19">
        <v>6</v>
      </c>
      <c r="G5" s="551">
        <v>7</v>
      </c>
      <c r="H5" s="205">
        <v>8</v>
      </c>
      <c r="I5" s="550">
        <v>9</v>
      </c>
      <c r="J5" s="551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9" t="s">
        <v>6</v>
      </c>
      <c r="B6" s="530"/>
      <c r="C6" s="14"/>
      <c r="D6" s="14"/>
      <c r="E6" s="14"/>
      <c r="F6" s="14"/>
      <c r="G6" s="298"/>
      <c r="H6" s="304"/>
      <c r="I6" s="297"/>
      <c r="J6" s="298"/>
      <c r="K6" s="304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9"/>
      <c r="C7" s="11"/>
      <c r="D7" s="11"/>
      <c r="E7" s="11"/>
      <c r="F7" s="11"/>
      <c r="G7" s="197"/>
      <c r="H7" s="20"/>
      <c r="I7" s="286">
        <f>'сан содерж'!F11</f>
        <v>0.07783291139240506</v>
      </c>
      <c r="J7" s="410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6"/>
      <c r="J8" s="411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6">
        <f>264.8*1.059</f>
        <v>280.4232</v>
      </c>
      <c r="H9" s="206">
        <f>F9*G9</f>
        <v>280.4232</v>
      </c>
      <c r="I9" s="287">
        <f>I7</f>
        <v>0.07783291139240506</v>
      </c>
      <c r="J9" s="413">
        <f>F9*I9</f>
        <v>0.07783291139240506</v>
      </c>
      <c r="K9" s="206">
        <f>H9*I9</f>
        <v>21.82615407797468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7">
        <f>I7</f>
        <v>0.07783291139240506</v>
      </c>
      <c r="J10" s="413">
        <f>F10*I10</f>
        <v>0.46699746835443035</v>
      </c>
      <c r="K10" s="206">
        <f>H10*I10</f>
        <v>13.117958886075948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7">
        <f>I7</f>
        <v>0.07783291139240506</v>
      </c>
      <c r="J11" s="413">
        <f>F11*I11</f>
        <v>0.07783291139240506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7">
        <f>I7</f>
        <v>0.07783291139240506</v>
      </c>
      <c r="J12" s="413">
        <f>F12*I12</f>
        <v>0.31133164556962023</v>
      </c>
      <c r="K12" s="206">
        <f>H12*I12</f>
        <v>8.745305924050632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2"/>
      <c r="J13" s="196"/>
      <c r="K13" s="207">
        <f>SUM(K9:K12)</f>
        <v>43.689418888101265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3"/>
      <c r="J14" s="412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6">
        <f>'сан содерж'!F33</f>
        <v>0.32821940264180266</v>
      </c>
      <c r="J15" s="410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6"/>
      <c r="J16" s="411"/>
      <c r="K16" s="110"/>
    </row>
    <row r="17" spans="1:11" ht="12.75">
      <c r="A17" s="44" t="s">
        <v>366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7">
        <f>I15</f>
        <v>0.32821940264180266</v>
      </c>
      <c r="J17" s="413">
        <f>F17*I17</f>
        <v>0.32821940264180266</v>
      </c>
      <c r="K17" s="206">
        <f>H17*I17</f>
        <v>184.21970412076456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7">
        <f>I15</f>
        <v>0.32821940264180266</v>
      </c>
      <c r="J18" s="413">
        <f>F18*I18</f>
        <v>0.32821940264180266</v>
      </c>
      <c r="K18" s="206">
        <f>H18*I18</f>
        <v>18.439366040416473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7">
        <f>I15</f>
        <v>0.32821940264180266</v>
      </c>
      <c r="J19" s="413">
        <f>F19*I19</f>
        <v>1.969316415850816</v>
      </c>
      <c r="K19" s="206">
        <f>H19*I19</f>
        <v>77.4453373697492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7">
        <f>I15</f>
        <v>0.32821940264180266</v>
      </c>
      <c r="J20" s="413">
        <f>F20*I20</f>
        <v>0.16410970132090133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7">
        <f>I15</f>
        <v>0.32821940264180266</v>
      </c>
      <c r="J21" s="413">
        <f>F21*I21</f>
        <v>0.32821940264180266</v>
      </c>
      <c r="K21" s="206">
        <f>H21*I21</f>
        <v>128.93639725619522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2"/>
      <c r="J22" s="196"/>
      <c r="K22" s="207">
        <f>SUM(K17:K21)</f>
        <v>409.04080478712547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4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6" t="e">
        <f>'сан содерж'!F46</f>
        <v>#DIV/0!</v>
      </c>
      <c r="J24" s="414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6"/>
      <c r="J25" s="411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7" t="e">
        <f>I24</f>
        <v>#DIV/0!</v>
      </c>
      <c r="J26" s="413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7" t="e">
        <f>I24</f>
        <v>#DIV/0!</v>
      </c>
      <c r="J27" s="413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7" t="e">
        <f>I24</f>
        <v>#DIV/0!</v>
      </c>
      <c r="J28" s="413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7" t="e">
        <f>I24</f>
        <v>#DIV/0!</v>
      </c>
      <c r="J29" s="413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2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4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4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4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6">
        <f>'сан содерж'!F11</f>
        <v>0.07783291139240506</v>
      </c>
      <c r="J34" s="411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7"/>
      <c r="J35" s="103"/>
      <c r="K35" s="110"/>
    </row>
    <row r="36" spans="1:11" ht="12.75">
      <c r="A36" s="44" t="s">
        <v>386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7">
        <f>I34</f>
        <v>0.07783291139240506</v>
      </c>
      <c r="J36" s="413">
        <f aca="true" t="shared" si="2" ref="J36:J41">F36*I36</f>
        <v>0.9339949367088607</v>
      </c>
      <c r="K36" s="206">
        <f aca="true" t="shared" si="3" ref="K36:K42">H36*I36</f>
        <v>136.32776895189872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7">
        <f>I34</f>
        <v>0.07783291139240506</v>
      </c>
      <c r="J37" s="413">
        <f t="shared" si="2"/>
        <v>0.07783291139240506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7">
        <f>I34</f>
        <v>0.07783291139240506</v>
      </c>
      <c r="J38" s="413">
        <f t="shared" si="2"/>
        <v>0.07783291139240506</v>
      </c>
      <c r="K38" s="206">
        <f t="shared" si="3"/>
        <v>10.486116820253164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7">
        <f>I34</f>
        <v>0.07783291139240506</v>
      </c>
      <c r="J39" s="413">
        <f t="shared" si="2"/>
        <v>0.07783291139240506</v>
      </c>
      <c r="K39" s="206">
        <f t="shared" si="3"/>
        <v>11.360647412658226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7">
        <f>I34</f>
        <v>0.07783291139240506</v>
      </c>
      <c r="J40" s="413">
        <f t="shared" si="2"/>
        <v>0.03891645569620253</v>
      </c>
      <c r="K40" s="206">
        <f t="shared" si="3"/>
        <v>4.368527817721519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7">
        <f>I34</f>
        <v>0.07783291139240506</v>
      </c>
      <c r="J41" s="413">
        <f t="shared" si="2"/>
        <v>0.07783291139240506</v>
      </c>
      <c r="K41" s="206">
        <f t="shared" si="3"/>
        <v>7.862525043037974</v>
      </c>
    </row>
    <row r="42" spans="1:132" s="1" customFormat="1" ht="13.5" thickBot="1">
      <c r="A42" s="47" t="s">
        <v>140</v>
      </c>
      <c r="B42" s="316"/>
      <c r="C42" s="380">
        <v>12</v>
      </c>
      <c r="D42" s="380">
        <v>1</v>
      </c>
      <c r="E42" s="380">
        <v>12</v>
      </c>
      <c r="F42" s="385">
        <f>D42/C42*E42</f>
        <v>1</v>
      </c>
      <c r="G42" s="127">
        <f>58.3*1.06</f>
        <v>61.798</v>
      </c>
      <c r="H42" s="206">
        <f t="shared" si="1"/>
        <v>61.798</v>
      </c>
      <c r="I42" s="281">
        <f>I34</f>
        <v>0.07783291139240506</v>
      </c>
      <c r="J42" s="413">
        <f>F42*I42</f>
        <v>0.07783291139240506</v>
      </c>
      <c r="K42" s="206">
        <f t="shared" si="3"/>
        <v>4.809918258227848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4"/>
      <c r="G43" s="199"/>
      <c r="H43" s="210">
        <f>SUM(H36:H42)</f>
        <v>2251.175</v>
      </c>
      <c r="I43" s="285"/>
      <c r="J43" s="199"/>
      <c r="K43" s="210">
        <f>SUM(K36:K42)</f>
        <v>175.21550430379745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2" t="s">
        <v>141</v>
      </c>
      <c r="B44" s="530" t="s">
        <v>405</v>
      </c>
      <c r="C44" s="778">
        <v>100</v>
      </c>
      <c r="D44" s="778">
        <v>0.2</v>
      </c>
      <c r="E44" s="778">
        <v>12</v>
      </c>
      <c r="F44" s="779">
        <f>D44/C44*E44</f>
        <v>0.024</v>
      </c>
      <c r="G44" s="128">
        <f>75*1.06</f>
        <v>79.5</v>
      </c>
      <c r="H44" s="209">
        <f>F44*G44</f>
        <v>1.9080000000000001</v>
      </c>
      <c r="I44" s="284">
        <f>'Исход дан'!D9</f>
        <v>54.9</v>
      </c>
      <c r="J44" s="744">
        <f>I44*F44</f>
        <v>1.3175999999999999</v>
      </c>
      <c r="K44" s="209">
        <f>H44*I44</f>
        <v>104.7492</v>
      </c>
    </row>
    <row r="45" spans="1:11" ht="18.75" customHeight="1">
      <c r="A45" s="317" t="s">
        <v>436</v>
      </c>
      <c r="B45" s="318"/>
      <c r="C45" s="56"/>
      <c r="D45" s="56"/>
      <c r="E45" s="56"/>
      <c r="F45" s="52"/>
      <c r="G45" s="128"/>
      <c r="H45" s="208"/>
      <c r="I45" s="319">
        <f>'сан содерж'!F33</f>
        <v>0.32821940264180266</v>
      </c>
      <c r="J45" s="415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6"/>
      <c r="J46" s="411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7">
        <f>I45</f>
        <v>0.32821940264180266</v>
      </c>
      <c r="J47" s="413">
        <f aca="true" t="shared" si="6" ref="J47:J55">F47*I47</f>
        <v>10.5303725014245</v>
      </c>
      <c r="K47" s="206">
        <f aca="true" t="shared" si="7" ref="K47:K55">H47*I47</f>
        <v>708.7993730708831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7">
        <f>I45</f>
        <v>0.32821940264180266</v>
      </c>
      <c r="J48" s="413">
        <f t="shared" si="6"/>
        <v>0.030086778575498574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7">
        <f>I45</f>
        <v>0.32821940264180266</v>
      </c>
      <c r="J49" s="413">
        <f t="shared" si="6"/>
        <v>0.030086778575498574</v>
      </c>
      <c r="K49" s="206">
        <f t="shared" si="7"/>
        <v>6.754722484428034</v>
      </c>
    </row>
    <row r="50" spans="1:11" ht="12.75">
      <c r="A50" s="44" t="s">
        <v>504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7">
        <f>I45</f>
        <v>0.32821940264180266</v>
      </c>
      <c r="J50" s="413">
        <f t="shared" si="6"/>
        <v>0.07521694643874643</v>
      </c>
      <c r="K50" s="206">
        <f t="shared" si="7"/>
        <v>9.2885407157208</v>
      </c>
    </row>
    <row r="51" spans="1:11" ht="12.75">
      <c r="A51" s="44" t="s">
        <v>505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7">
        <f>I45</f>
        <v>0.32821940264180266</v>
      </c>
      <c r="J51" s="413">
        <f t="shared" si="6"/>
        <v>0.07521694643874643</v>
      </c>
      <c r="K51" s="206">
        <f t="shared" si="7"/>
        <v>9.2885407157208</v>
      </c>
    </row>
    <row r="52" spans="1:11" ht="12.75">
      <c r="A52" s="44" t="s">
        <v>435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7">
        <f>I45</f>
        <v>0.32821940264180266</v>
      </c>
      <c r="J52" s="413">
        <f t="shared" si="6"/>
        <v>0.15043389287749287</v>
      </c>
      <c r="K52" s="206">
        <f t="shared" si="7"/>
        <v>71.7569669025641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7">
        <f>I45</f>
        <v>0.32821940264180266</v>
      </c>
      <c r="J53" s="413">
        <f t="shared" si="6"/>
        <v>0.07521694643874643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6">
        <f>150*1.06</f>
        <v>159</v>
      </c>
      <c r="H54" s="209">
        <f t="shared" si="5"/>
        <v>72.875</v>
      </c>
      <c r="I54" s="287">
        <f>I45</f>
        <v>0.32821940264180266</v>
      </c>
      <c r="J54" s="413">
        <f t="shared" si="6"/>
        <v>0.15043389287749287</v>
      </c>
      <c r="K54" s="206">
        <f t="shared" si="7"/>
        <v>23.91898896752137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7">
        <f>I45</f>
        <v>0.32821940264180266</v>
      </c>
      <c r="J55" s="413">
        <f t="shared" si="6"/>
        <v>0.07521694643874643</v>
      </c>
      <c r="K55" s="206">
        <f t="shared" si="7"/>
        <v>0</v>
      </c>
    </row>
    <row r="56" spans="1:132" s="39" customFormat="1" ht="15.75" customHeight="1" thickBot="1">
      <c r="A56" s="387" t="s">
        <v>195</v>
      </c>
      <c r="B56" s="388"/>
      <c r="C56" s="389"/>
      <c r="D56" s="389"/>
      <c r="E56" s="389"/>
      <c r="F56" s="389"/>
      <c r="G56" s="390"/>
      <c r="H56" s="391">
        <f>SUM(H47:H55)</f>
        <v>2528.20865</v>
      </c>
      <c r="I56" s="392"/>
      <c r="J56" s="390"/>
      <c r="K56" s="391">
        <f>SUM(K47:K55)</f>
        <v>829.8071328568384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4"/>
      <c r="J57" s="128"/>
      <c r="K57" s="208"/>
    </row>
    <row r="58" spans="1:11" ht="18" customHeight="1">
      <c r="A58" s="60" t="s">
        <v>437</v>
      </c>
      <c r="B58" s="172"/>
      <c r="C58" s="35"/>
      <c r="D58" s="35"/>
      <c r="E58" s="35"/>
      <c r="F58" s="35"/>
      <c r="G58" s="103"/>
      <c r="H58" s="110"/>
      <c r="I58" s="286">
        <f>'сан содерж'!F33</f>
        <v>0.32821940264180266</v>
      </c>
      <c r="J58" s="416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6"/>
      <c r="J59" s="411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7">
        <f>I58</f>
        <v>0.32821940264180266</v>
      </c>
      <c r="J60" s="413">
        <f aca="true" t="shared" si="10" ref="J60:J68">F60*I60</f>
        <v>0.05926183658810326</v>
      </c>
      <c r="K60" s="206">
        <f aca="true" t="shared" si="11" ref="K60:K68">H60*I60</f>
        <v>8.649976192072726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7">
        <f>I58</f>
        <v>0.32821940264180266</v>
      </c>
      <c r="J61" s="413">
        <f t="shared" si="10"/>
        <v>0.05926183658810326</v>
      </c>
      <c r="K61" s="206">
        <f t="shared" si="11"/>
        <v>5.282955684483053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7">
        <f>I58</f>
        <v>0.32821940264180266</v>
      </c>
      <c r="J62" s="413">
        <f t="shared" si="10"/>
        <v>0.17778550976430976</v>
      </c>
      <c r="K62" s="206">
        <f t="shared" si="11"/>
        <v>21.954732600794614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7">
        <f>I58</f>
        <v>0.32821940264180266</v>
      </c>
      <c r="J63" s="413">
        <f t="shared" si="10"/>
        <v>9.422632017508418</v>
      </c>
      <c r="K63" s="206">
        <f t="shared" si="11"/>
        <v>634.2373610984916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7">
        <f>I58</f>
        <v>0.32821940264180266</v>
      </c>
      <c r="J64" s="413">
        <f t="shared" si="10"/>
        <v>46.93537457777778</v>
      </c>
      <c r="K64" s="206">
        <f t="shared" si="11"/>
        <v>124.37874263111114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7">
        <f>I58</f>
        <v>0.32821940264180266</v>
      </c>
      <c r="J65" s="413">
        <f t="shared" si="10"/>
        <v>0.08889275488215488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7">
        <f>I58</f>
        <v>0.32821940264180266</v>
      </c>
      <c r="J66" s="413">
        <f t="shared" si="10"/>
        <v>0.711142039057239</v>
      </c>
      <c r="K66" s="206">
        <f t="shared" si="11"/>
        <v>95.80932235402558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7">
        <f>I58</f>
        <v>0.32821940264180266</v>
      </c>
      <c r="J67" s="413">
        <f t="shared" si="10"/>
        <v>0.17778550976430976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1">
        <f>I58</f>
        <v>0.32821940264180266</v>
      </c>
      <c r="J68" s="413">
        <f t="shared" si="10"/>
        <v>0.05926183658810326</v>
      </c>
      <c r="K68" s="206">
        <f t="shared" si="11"/>
        <v>33.29329979519641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8" t="s">
        <v>194</v>
      </c>
      <c r="B69" s="393"/>
      <c r="C69" s="367"/>
      <c r="D69" s="367"/>
      <c r="E69" s="367"/>
      <c r="F69" s="394"/>
      <c r="G69" s="395"/>
      <c r="H69" s="396">
        <f>SUM(H60:H68)</f>
        <v>2813.9908333333333</v>
      </c>
      <c r="I69" s="397"/>
      <c r="J69" s="418"/>
      <c r="K69" s="396">
        <f>SUM(K60:K68)</f>
        <v>923.6063903561751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1" t="s">
        <v>44</v>
      </c>
      <c r="B70" s="402"/>
      <c r="C70" s="400"/>
      <c r="D70" s="400"/>
      <c r="E70" s="400"/>
      <c r="F70" s="403"/>
      <c r="G70" s="404"/>
      <c r="H70" s="405">
        <f>H56+H69</f>
        <v>5342.199483333334</v>
      </c>
      <c r="I70" s="406"/>
      <c r="J70" s="419"/>
      <c r="K70" s="405">
        <f>K56+K69</f>
        <v>1753.4135232130134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438</v>
      </c>
      <c r="B71" s="554" t="s">
        <v>503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40">
        <f>F71*G71</f>
        <v>78.70796800000001</v>
      </c>
      <c r="I71" s="441">
        <f>('сан содерж'!D22+'сан содерж'!D23+'сан содерж'!D24)/50</f>
        <v>7.48</v>
      </c>
      <c r="J71" s="442">
        <f>F71*I71</f>
        <v>0.9574400000000001</v>
      </c>
      <c r="K71" s="206">
        <f>H71*I71</f>
        <v>588.7356006400001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7"/>
      <c r="H72" s="211"/>
      <c r="I72" s="288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20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7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7" t="e">
        <f>I73</f>
        <v>#DIV/0!</v>
      </c>
      <c r="J75" s="413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7" t="e">
        <f>I73</f>
        <v>#DIV/0!</v>
      </c>
      <c r="J76" s="413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7" t="e">
        <f>I73</f>
        <v>#DIV/0!</v>
      </c>
      <c r="J77" s="413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7" t="e">
        <f>I73</f>
        <v>#DIV/0!</v>
      </c>
      <c r="J78" s="413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2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9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2" t="s">
        <v>45</v>
      </c>
      <c r="B81" s="174"/>
      <c r="C81" s="67"/>
      <c r="D81" s="67"/>
      <c r="E81" s="67"/>
      <c r="F81" s="67"/>
      <c r="G81" s="201"/>
      <c r="H81" s="213"/>
      <c r="I81" s="290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1"/>
      <c r="I82" s="291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9" t="s">
        <v>399</v>
      </c>
      <c r="C83" s="23">
        <v>1</v>
      </c>
      <c r="D83" s="23">
        <v>0.02</v>
      </c>
      <c r="E83" s="23">
        <v>183</v>
      </c>
      <c r="F83" s="275">
        <f>D83/C83*E83</f>
        <v>3.66</v>
      </c>
      <c r="G83" s="198"/>
      <c r="H83" s="209">
        <f>F83*G83</f>
        <v>0</v>
      </c>
      <c r="I83" s="292">
        <f>'Исход дан'!D45</f>
        <v>0</v>
      </c>
      <c r="J83" s="413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0"/>
      <c r="D84" s="280"/>
      <c r="E84" s="280"/>
      <c r="F84" s="35"/>
      <c r="G84" s="198"/>
      <c r="H84" s="206"/>
      <c r="I84" s="292"/>
      <c r="J84" s="413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9" t="s">
        <v>266</v>
      </c>
      <c r="C85" s="23">
        <v>100</v>
      </c>
      <c r="D85" s="23">
        <v>1.5</v>
      </c>
      <c r="E85" s="23">
        <v>183</v>
      </c>
      <c r="F85" s="275">
        <f>D85/C85*E85</f>
        <v>2.745</v>
      </c>
      <c r="G85" s="198"/>
      <c r="H85" s="209">
        <f>F85*G85</f>
        <v>0</v>
      </c>
      <c r="I85" s="292">
        <f>'Исход дан'!D47</f>
        <v>0</v>
      </c>
      <c r="J85" s="413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9"/>
      <c r="D86" s="299"/>
      <c r="E86" s="299"/>
      <c r="F86" s="71"/>
      <c r="G86" s="198"/>
      <c r="H86" s="206"/>
      <c r="I86" s="292"/>
      <c r="J86" s="413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9" t="s">
        <v>487</v>
      </c>
      <c r="C87" s="23">
        <v>10</v>
      </c>
      <c r="D87" s="23">
        <v>0.2</v>
      </c>
      <c r="E87" s="23">
        <v>52</v>
      </c>
      <c r="F87" s="275">
        <f>D87/C87*E87</f>
        <v>1.04</v>
      </c>
      <c r="G87" s="198"/>
      <c r="H87" s="209">
        <f>F87*G87</f>
        <v>0</v>
      </c>
      <c r="I87" s="292">
        <f>'Исход дан'!D44</f>
        <v>0</v>
      </c>
      <c r="J87" s="413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2"/>
      <c r="J88" s="413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9" t="s">
        <v>267</v>
      </c>
      <c r="C89" s="23">
        <v>100</v>
      </c>
      <c r="D89" s="23">
        <v>1.5</v>
      </c>
      <c r="E89" s="23">
        <v>12</v>
      </c>
      <c r="F89" s="275">
        <f>D89/C89*E89</f>
        <v>0.18</v>
      </c>
      <c r="G89" s="198"/>
      <c r="H89" s="209">
        <f>F89*G89</f>
        <v>0</v>
      </c>
      <c r="I89" s="292">
        <f>'Исход дан'!D46</f>
        <v>0</v>
      </c>
      <c r="J89" s="413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9" t="s">
        <v>268</v>
      </c>
      <c r="C90" s="407">
        <v>100</v>
      </c>
      <c r="D90" s="407">
        <v>5.38</v>
      </c>
      <c r="E90" s="407">
        <v>12</v>
      </c>
      <c r="F90" s="274">
        <f>D90/C90*E90</f>
        <v>0.6456</v>
      </c>
      <c r="G90" s="103"/>
      <c r="H90" s="209">
        <f>F90*G90</f>
        <v>0</v>
      </c>
      <c r="I90" s="292">
        <f>'Исход дан'!D46</f>
        <v>0</v>
      </c>
      <c r="J90" s="413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9"/>
      <c r="D91" s="299"/>
      <c r="E91" s="299"/>
      <c r="F91" s="71"/>
      <c r="G91" s="198"/>
      <c r="H91" s="206"/>
      <c r="I91" s="292"/>
      <c r="J91" s="413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9" t="s">
        <v>299</v>
      </c>
      <c r="C92" s="23">
        <v>10</v>
      </c>
      <c r="D92" s="23">
        <v>1.5</v>
      </c>
      <c r="E92" s="23">
        <v>12</v>
      </c>
      <c r="F92" s="275">
        <f>D92/C92*E92</f>
        <v>1.7999999999999998</v>
      </c>
      <c r="G92" s="198"/>
      <c r="H92" s="209">
        <f>F92*G92</f>
        <v>0</v>
      </c>
      <c r="I92" s="292">
        <f>'Исход дан'!D47</f>
        <v>0</v>
      </c>
      <c r="J92" s="413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9" t="s">
        <v>269</v>
      </c>
      <c r="C93" s="407">
        <v>10</v>
      </c>
      <c r="D93" s="407">
        <v>5.38</v>
      </c>
      <c r="E93" s="407">
        <v>12</v>
      </c>
      <c r="F93" s="275">
        <f>D93/C93*E93</f>
        <v>6.456</v>
      </c>
      <c r="G93" s="103"/>
      <c r="H93" s="209">
        <f>F93*G93</f>
        <v>0</v>
      </c>
      <c r="I93" s="292">
        <f>'Исход дан'!D47</f>
        <v>0</v>
      </c>
      <c r="J93" s="413">
        <f>F93*I93</f>
        <v>0</v>
      </c>
      <c r="K93" s="206">
        <f>H93*I93</f>
        <v>0</v>
      </c>
    </row>
    <row r="94" spans="1:11" ht="12.75">
      <c r="A94" s="47"/>
      <c r="B94" s="161"/>
      <c r="C94" s="280"/>
      <c r="D94" s="280"/>
      <c r="E94" s="280"/>
      <c r="F94" s="37"/>
      <c r="G94" s="104"/>
      <c r="H94" s="206"/>
      <c r="I94" s="278"/>
      <c r="J94" s="417"/>
      <c r="K94" s="206"/>
    </row>
    <row r="95" spans="1:132" s="4" customFormat="1" ht="25.5">
      <c r="A95" s="75" t="s">
        <v>387</v>
      </c>
      <c r="B95" s="171"/>
      <c r="C95" s="76"/>
      <c r="D95" s="76"/>
      <c r="E95" s="76"/>
      <c r="F95" s="57"/>
      <c r="G95" s="203"/>
      <c r="H95" s="562">
        <f>SUM(H83:H94)</f>
        <v>0</v>
      </c>
      <c r="I95" s="294"/>
      <c r="J95" s="421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3" t="s">
        <v>368</v>
      </c>
      <c r="B96" s="161" t="s">
        <v>370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4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3" t="s">
        <v>369</v>
      </c>
      <c r="B97" s="161" t="s">
        <v>388</v>
      </c>
      <c r="C97" s="77">
        <v>1</v>
      </c>
      <c r="D97" s="77">
        <v>17</v>
      </c>
      <c r="E97" s="77">
        <v>1</v>
      </c>
      <c r="F97" s="275">
        <v>17</v>
      </c>
      <c r="G97" s="104">
        <v>10</v>
      </c>
      <c r="H97" s="209">
        <f>F97*G97</f>
        <v>170</v>
      </c>
      <c r="I97" s="293"/>
      <c r="J97" s="422"/>
      <c r="K97" s="687">
        <f>F97*G97</f>
        <v>170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371</v>
      </c>
      <c r="B98" s="120" t="s">
        <v>389</v>
      </c>
      <c r="C98" s="32">
        <v>1</v>
      </c>
      <c r="D98" s="32">
        <v>3</v>
      </c>
      <c r="E98" s="32">
        <v>4</v>
      </c>
      <c r="F98" s="275">
        <v>12</v>
      </c>
      <c r="G98" s="103">
        <v>10</v>
      </c>
      <c r="H98" s="209">
        <f>F98*G98</f>
        <v>120</v>
      </c>
      <c r="I98" s="409"/>
      <c r="J98" s="423"/>
      <c r="K98" s="687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8"/>
      <c r="I99" s="409"/>
      <c r="J99" s="423"/>
      <c r="K99" s="408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8"/>
      <c r="I100" s="409"/>
      <c r="J100" s="423"/>
      <c r="K100" s="408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1" t="s">
        <v>54</v>
      </c>
      <c r="B101" s="502"/>
      <c r="C101" s="503"/>
      <c r="D101" s="503"/>
      <c r="E101" s="503"/>
      <c r="F101" s="503"/>
      <c r="G101" s="504"/>
      <c r="H101" s="505">
        <f>H13+H22+H30+H43+H56+H69+H79+H95</f>
        <v>9400.939683333334</v>
      </c>
      <c r="I101" s="506"/>
      <c r="J101" s="504"/>
      <c r="K101" s="505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">
      <selection activeCell="H8" sqref="H8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2" t="s">
        <v>757</v>
      </c>
      <c r="C1" s="922"/>
      <c r="D1" s="922"/>
      <c r="E1" s="922"/>
      <c r="F1" s="922"/>
      <c r="G1" s="922"/>
      <c r="H1" s="922"/>
      <c r="I1" s="922"/>
      <c r="J1" s="219"/>
    </row>
    <row r="2" spans="1:10" ht="13.5" thickBot="1">
      <c r="A2" s="3"/>
      <c r="B2" s="29" t="s">
        <v>440</v>
      </c>
      <c r="C2" s="3"/>
      <c r="D2" s="3"/>
      <c r="E2" s="3"/>
      <c r="F2" s="26"/>
      <c r="G2" s="3"/>
      <c r="H2" s="3"/>
      <c r="I2" s="26"/>
      <c r="J2" s="3"/>
    </row>
    <row r="3" spans="1:10" ht="48">
      <c r="A3" s="507" t="s">
        <v>107</v>
      </c>
      <c r="B3" s="443" t="s">
        <v>441</v>
      </c>
      <c r="C3" s="443" t="s">
        <v>108</v>
      </c>
      <c r="D3" s="443" t="s">
        <v>109</v>
      </c>
      <c r="E3" s="443" t="s">
        <v>109</v>
      </c>
      <c r="F3" s="443" t="s">
        <v>110</v>
      </c>
      <c r="G3" s="154" t="s">
        <v>113</v>
      </c>
      <c r="H3" s="154" t="s">
        <v>276</v>
      </c>
      <c r="I3" s="508" t="s">
        <v>243</v>
      </c>
      <c r="J3" s="509" t="s">
        <v>261</v>
      </c>
    </row>
    <row r="4" spans="1:10" ht="36.75" thickBot="1">
      <c r="A4" s="510"/>
      <c r="B4" s="511"/>
      <c r="C4" s="511"/>
      <c r="D4" s="512"/>
      <c r="E4" s="511" t="s">
        <v>275</v>
      </c>
      <c r="F4" s="513" t="s">
        <v>274</v>
      </c>
      <c r="G4" s="295" t="s">
        <v>273</v>
      </c>
      <c r="H4" s="296" t="s">
        <v>272</v>
      </c>
      <c r="I4" s="514" t="s">
        <v>400</v>
      </c>
      <c r="J4" s="340" t="s">
        <v>277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1">
        <v>10</v>
      </c>
    </row>
    <row r="6" spans="1:10" ht="18" customHeight="1" thickBot="1">
      <c r="A6" s="515"/>
      <c r="B6" s="349"/>
      <c r="C6" s="555" t="s">
        <v>182</v>
      </c>
      <c r="D6" s="516"/>
      <c r="E6" s="349"/>
      <c r="F6" s="349"/>
      <c r="G6" s="516"/>
      <c r="H6" s="517"/>
      <c r="I6" s="518"/>
      <c r="J6" s="519">
        <f>'Исход дан'!D11</f>
        <v>1095</v>
      </c>
    </row>
    <row r="7" spans="1:10" ht="51.75" customHeight="1">
      <c r="A7" s="42">
        <v>1</v>
      </c>
      <c r="B7" s="34" t="s">
        <v>443</v>
      </c>
      <c r="C7" s="781" t="s">
        <v>111</v>
      </c>
      <c r="D7" s="781" t="s">
        <v>165</v>
      </c>
      <c r="E7" s="782">
        <v>1</v>
      </c>
      <c r="F7" s="802">
        <f>'Исход дан'!D17</f>
        <v>498.5</v>
      </c>
      <c r="G7" s="782">
        <v>1</v>
      </c>
      <c r="H7" s="780">
        <f>5250*1.06*1.06/165.2*0.012*1.202*2</f>
        <v>1.0300936271186443</v>
      </c>
      <c r="I7" s="783">
        <f>F7/E7*G7*H7</f>
        <v>513.5016731186441</v>
      </c>
      <c r="J7" s="784">
        <f>I7/J$6/12</f>
        <v>0.03907927497097748</v>
      </c>
    </row>
    <row r="8" spans="1:10" ht="33.75" customHeight="1">
      <c r="A8" s="42">
        <v>2</v>
      </c>
      <c r="B8" s="34" t="s">
        <v>444</v>
      </c>
      <c r="C8" s="781" t="s">
        <v>166</v>
      </c>
      <c r="D8" s="781" t="s">
        <v>165</v>
      </c>
      <c r="E8" s="782">
        <v>1</v>
      </c>
      <c r="F8" s="782">
        <f>'Исход дан'!D14</f>
        <v>741</v>
      </c>
      <c r="G8" s="782">
        <v>1</v>
      </c>
      <c r="H8" s="780">
        <v>0</v>
      </c>
      <c r="I8" s="783">
        <f aca="true" t="shared" si="0" ref="I8:I20">F8/E8*G8*H8</f>
        <v>0</v>
      </c>
      <c r="J8" s="784">
        <f aca="true" t="shared" si="1" ref="J8:J20">I8/J$6/12</f>
        <v>0</v>
      </c>
    </row>
    <row r="9" spans="1:13" ht="33.75" customHeight="1">
      <c r="A9" s="42">
        <v>3</v>
      </c>
      <c r="B9" s="781" t="s">
        <v>445</v>
      </c>
      <c r="C9" s="781" t="s">
        <v>167</v>
      </c>
      <c r="D9" s="781" t="s">
        <v>165</v>
      </c>
      <c r="E9" s="782">
        <v>1</v>
      </c>
      <c r="F9" s="782">
        <f>'Исход дан'!D14</f>
        <v>741</v>
      </c>
      <c r="G9" s="782">
        <v>1</v>
      </c>
      <c r="H9" s="780">
        <f>5250*1.06*1.06/165.2*0.09*1.202*0.3</f>
        <v>1.1588553305084746</v>
      </c>
      <c r="I9" s="783">
        <f t="shared" si="0"/>
        <v>858.7117999067797</v>
      </c>
      <c r="J9" s="784">
        <f t="shared" si="1"/>
        <v>0.06535097411771534</v>
      </c>
      <c r="K9" s="803">
        <v>0.171</v>
      </c>
      <c r="M9">
        <v>2229.85</v>
      </c>
    </row>
    <row r="10" spans="1:10" ht="43.5" customHeight="1">
      <c r="A10" s="42">
        <v>4</v>
      </c>
      <c r="B10" s="801" t="s">
        <v>446</v>
      </c>
      <c r="C10" s="801" t="s">
        <v>126</v>
      </c>
      <c r="D10" s="801" t="s">
        <v>127</v>
      </c>
      <c r="E10" s="824">
        <v>1</v>
      </c>
      <c r="F10" s="824">
        <f>'Исход дан'!D19</f>
        <v>36</v>
      </c>
      <c r="G10" s="824">
        <v>1</v>
      </c>
      <c r="H10" s="786">
        <f>8347.5*1.06*1.06/165.2*0.56*1.202</f>
        <v>38.2164735661017</v>
      </c>
      <c r="I10" s="825">
        <f t="shared" si="0"/>
        <v>1375.793048379661</v>
      </c>
      <c r="J10" s="826">
        <f t="shared" si="1"/>
        <v>0.10470266730438821</v>
      </c>
    </row>
    <row r="11" spans="1:10" ht="67.5" customHeight="1">
      <c r="A11" s="42">
        <v>5</v>
      </c>
      <c r="B11" s="801" t="s">
        <v>447</v>
      </c>
      <c r="C11" s="801" t="s">
        <v>117</v>
      </c>
      <c r="D11" s="801" t="s">
        <v>116</v>
      </c>
      <c r="E11" s="824">
        <v>1</v>
      </c>
      <c r="F11" s="793">
        <f>'Исход дан'!D20</f>
        <v>78</v>
      </c>
      <c r="G11" s="824">
        <v>1</v>
      </c>
      <c r="H11" s="786">
        <f>8347.5*1.06*1.06/165.2*0.52*1.202*0</f>
        <v>0</v>
      </c>
      <c r="I11" s="825">
        <f t="shared" si="0"/>
        <v>0</v>
      </c>
      <c r="J11" s="826">
        <f t="shared" si="1"/>
        <v>0</v>
      </c>
    </row>
    <row r="12" spans="1:10" ht="64.5" customHeight="1">
      <c r="A12" s="42">
        <v>6</v>
      </c>
      <c r="B12" s="801" t="s">
        <v>448</v>
      </c>
      <c r="C12" s="801" t="s">
        <v>146</v>
      </c>
      <c r="D12" s="801" t="s">
        <v>118</v>
      </c>
      <c r="E12" s="824">
        <v>1</v>
      </c>
      <c r="F12" s="824">
        <v>6</v>
      </c>
      <c r="G12" s="824">
        <v>1</v>
      </c>
      <c r="H12" s="786">
        <f>8347.5*1.06*1.06/165.2*0.52*1.202*0</f>
        <v>0</v>
      </c>
      <c r="I12" s="825">
        <f t="shared" si="0"/>
        <v>0</v>
      </c>
      <c r="J12" s="826">
        <f t="shared" si="1"/>
        <v>0</v>
      </c>
    </row>
    <row r="13" spans="1:10" ht="38.25" customHeight="1">
      <c r="A13" s="42">
        <v>7</v>
      </c>
      <c r="B13" s="801" t="s">
        <v>449</v>
      </c>
      <c r="C13" s="801" t="s">
        <v>393</v>
      </c>
      <c r="D13" s="801" t="s">
        <v>118</v>
      </c>
      <c r="E13" s="824">
        <v>1</v>
      </c>
      <c r="F13" s="824">
        <f>'Исход дан'!D22</f>
        <v>0</v>
      </c>
      <c r="G13" s="824">
        <v>1</v>
      </c>
      <c r="H13" s="786">
        <f>8347.5*1.06*1.06/165.2*0.33*1.202</f>
        <v>22.520421922881358</v>
      </c>
      <c r="I13" s="825">
        <f t="shared" si="0"/>
        <v>0</v>
      </c>
      <c r="J13" s="826">
        <f t="shared" si="1"/>
        <v>0</v>
      </c>
    </row>
    <row r="14" spans="1:13" ht="42" customHeight="1">
      <c r="A14" s="42">
        <v>8</v>
      </c>
      <c r="B14" s="801" t="s">
        <v>450</v>
      </c>
      <c r="C14" s="801" t="s">
        <v>473</v>
      </c>
      <c r="D14" s="801" t="s">
        <v>123</v>
      </c>
      <c r="E14" s="824">
        <v>1</v>
      </c>
      <c r="F14" s="824">
        <f>'Исход дан'!D26</f>
        <v>152</v>
      </c>
      <c r="G14" s="824">
        <v>1</v>
      </c>
      <c r="H14" s="786">
        <f>8347.5*1.06*1.06/165.2*0.26*1.202</f>
        <v>17.743362727118647</v>
      </c>
      <c r="I14" s="825">
        <f>F14/E14*G14*H14*0.8</f>
        <v>2157.5929076176276</v>
      </c>
      <c r="J14" s="826">
        <f t="shared" si="1"/>
        <v>0.16420037348688185</v>
      </c>
      <c r="K14" s="927" t="s">
        <v>696</v>
      </c>
      <c r="L14" s="928"/>
      <c r="M14" s="928"/>
    </row>
    <row r="15" spans="1:14" ht="34.5" customHeight="1">
      <c r="A15" s="42">
        <v>9</v>
      </c>
      <c r="B15" s="827" t="s">
        <v>451</v>
      </c>
      <c r="C15" s="827" t="s">
        <v>124</v>
      </c>
      <c r="D15" s="827" t="s">
        <v>125</v>
      </c>
      <c r="E15" s="828">
        <v>100</v>
      </c>
      <c r="F15" s="828">
        <f>'Исход дан'!D18</f>
        <v>4601</v>
      </c>
      <c r="G15" s="828">
        <v>1</v>
      </c>
      <c r="H15" s="829">
        <f>17430*1.06*1.06/165.2*0.87*1.202*0.8</f>
        <v>99.17741441898306</v>
      </c>
      <c r="I15" s="830">
        <f>F15/E15*G15*H15*0.8</f>
        <v>3650.5222699339283</v>
      </c>
      <c r="J15" s="831">
        <f t="shared" si="1"/>
        <v>0.277817524348092</v>
      </c>
      <c r="K15" t="s">
        <v>510</v>
      </c>
      <c r="L15" s="926" t="s">
        <v>724</v>
      </c>
      <c r="M15" s="926"/>
      <c r="N15" s="872">
        <f>7114/154.68121*1.0852</f>
        <v>49.90982938393099</v>
      </c>
    </row>
    <row r="16" spans="1:11" ht="46.5" customHeight="1">
      <c r="A16" s="42">
        <v>10</v>
      </c>
      <c r="B16" s="827" t="s">
        <v>452</v>
      </c>
      <c r="C16" s="827" t="s">
        <v>128</v>
      </c>
      <c r="D16" s="827" t="s">
        <v>129</v>
      </c>
      <c r="E16" s="828">
        <v>100</v>
      </c>
      <c r="F16" s="828">
        <f>'Исход дан'!D23</f>
        <v>568</v>
      </c>
      <c r="G16" s="828">
        <v>1</v>
      </c>
      <c r="H16" s="829">
        <f>17430*1.06*1.06/165.2*7.7*1.202*0.8</f>
        <v>877.777116122034</v>
      </c>
      <c r="I16" s="830">
        <f>F16/E16*G16*H16*0.7</f>
        <v>3490.041813701207</v>
      </c>
      <c r="J16" s="831">
        <f t="shared" si="1"/>
        <v>0.2656043998250538</v>
      </c>
      <c r="K16" t="s">
        <v>509</v>
      </c>
    </row>
    <row r="17" spans="1:14" ht="61.5" customHeight="1">
      <c r="A17" s="42">
        <v>11</v>
      </c>
      <c r="B17" s="34" t="s">
        <v>453</v>
      </c>
      <c r="C17" s="34" t="s">
        <v>122</v>
      </c>
      <c r="D17" s="34" t="s">
        <v>121</v>
      </c>
      <c r="E17" s="221">
        <v>1</v>
      </c>
      <c r="F17" s="221">
        <f>'Исход дан'!D25</f>
        <v>4</v>
      </c>
      <c r="G17" s="221">
        <v>1</v>
      </c>
      <c r="H17" s="448">
        <f>17430*1.06*1.06/165.2*4.1*1.202</f>
        <v>584.2347688474576</v>
      </c>
      <c r="I17" s="900">
        <f>F17/E17*G17*H17*0.7</f>
        <v>1635.8573527728813</v>
      </c>
      <c r="J17" s="688">
        <f>I17/J$6/12</f>
        <v>0.12449447129169568</v>
      </c>
      <c r="K17" s="791" t="s">
        <v>511</v>
      </c>
      <c r="L17" s="929" t="s">
        <v>697</v>
      </c>
      <c r="M17" s="929"/>
      <c r="N17" s="873" t="s">
        <v>725</v>
      </c>
    </row>
    <row r="18" spans="1:14" ht="56.25" customHeight="1">
      <c r="A18" s="42">
        <v>12</v>
      </c>
      <c r="B18" s="34" t="s">
        <v>454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8">
        <f>9082.5*1.06*1.06/165.2*0.58*1.202*3</f>
        <v>129.19949318135596</v>
      </c>
      <c r="I18" s="235">
        <f t="shared" si="0"/>
        <v>516.7979727254238</v>
      </c>
      <c r="J18" s="688">
        <f t="shared" si="1"/>
        <v>0.039330134910610645</v>
      </c>
      <c r="K18" s="791" t="s">
        <v>512</v>
      </c>
      <c r="L18" s="926" t="s">
        <v>698</v>
      </c>
      <c r="M18" s="926"/>
      <c r="N18" s="817" t="s">
        <v>726</v>
      </c>
    </row>
    <row r="19" spans="1:10" ht="29.25" customHeight="1">
      <c r="A19" s="42">
        <v>13</v>
      </c>
      <c r="B19" s="34" t="s">
        <v>455</v>
      </c>
      <c r="C19" s="34" t="s">
        <v>119</v>
      </c>
      <c r="D19" s="34" t="s">
        <v>120</v>
      </c>
      <c r="E19" s="221">
        <v>1</v>
      </c>
      <c r="F19" s="221">
        <f>'Исход дан'!D27</f>
        <v>0</v>
      </c>
      <c r="G19" s="221">
        <v>1</v>
      </c>
      <c r="H19" s="448">
        <f>9082.5*1.06*1.06/165.2*3.24*1.202</f>
        <v>240.57836661355938</v>
      </c>
      <c r="I19" s="235">
        <f t="shared" si="0"/>
        <v>0</v>
      </c>
      <c r="J19" s="688">
        <f t="shared" si="1"/>
        <v>0</v>
      </c>
    </row>
    <row r="20" spans="1:13" ht="30.75" customHeight="1">
      <c r="A20" s="42">
        <v>14</v>
      </c>
      <c r="B20" s="34" t="s">
        <v>455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8">
        <f>9082.5*1.06*1.06/165.2*3.24*1.202*2</f>
        <v>481.15673322711876</v>
      </c>
      <c r="I20" s="235">
        <f t="shared" si="0"/>
        <v>481.15673322711876</v>
      </c>
      <c r="J20" s="688">
        <f t="shared" si="1"/>
        <v>0.03661771181332715</v>
      </c>
      <c r="L20" s="930" t="s">
        <v>733</v>
      </c>
      <c r="M20" s="930"/>
    </row>
    <row r="21" spans="1:10" ht="12.75">
      <c r="A21" s="42">
        <v>15</v>
      </c>
      <c r="B21" s="34"/>
      <c r="C21" s="819"/>
      <c r="D21" s="34"/>
      <c r="E21" s="221"/>
      <c r="F21" s="221"/>
      <c r="G21" s="221"/>
      <c r="H21" s="221"/>
      <c r="I21" s="235"/>
      <c r="J21" s="688"/>
    </row>
    <row r="22" spans="1:10" ht="12.75">
      <c r="A22" s="42">
        <v>16</v>
      </c>
      <c r="B22" s="34"/>
      <c r="C22" s="34" t="s">
        <v>507</v>
      </c>
      <c r="D22" s="34"/>
      <c r="E22" s="34"/>
      <c r="F22" s="34"/>
      <c r="G22" s="34"/>
      <c r="H22" s="34"/>
      <c r="I22" s="235"/>
      <c r="J22" s="520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20"/>
    </row>
    <row r="24" spans="1:11" ht="26.25" customHeight="1">
      <c r="A24" s="745">
        <v>18</v>
      </c>
      <c r="B24" s="746" t="s">
        <v>462</v>
      </c>
      <c r="C24" s="746"/>
      <c r="D24" s="746"/>
      <c r="E24" s="746"/>
      <c r="F24" s="746"/>
      <c r="G24" s="746"/>
      <c r="H24" s="746"/>
      <c r="I24" s="747">
        <f>I7+I8+I9+I10+I12+I13+I14+I15+I16+I17+I18+I19+I20</f>
        <v>14679.975571383271</v>
      </c>
      <c r="J24" s="748">
        <f>I24/J6/12</f>
        <v>1.1171975320687422</v>
      </c>
      <c r="K24" t="s">
        <v>514</v>
      </c>
    </row>
    <row r="25" spans="1:10" ht="12.75">
      <c r="A25" s="521"/>
      <c r="B25" s="522"/>
      <c r="C25" s="523"/>
      <c r="D25" s="523"/>
      <c r="E25" s="523"/>
      <c r="F25" s="523"/>
      <c r="G25" s="523"/>
      <c r="H25" s="524"/>
      <c r="I25" s="525"/>
      <c r="J25" s="520"/>
    </row>
    <row r="26" spans="1:10" ht="18" customHeight="1">
      <c r="A26" s="42"/>
      <c r="B26" s="526"/>
      <c r="C26" s="556" t="s">
        <v>442</v>
      </c>
      <c r="D26" s="34"/>
      <c r="E26" s="34"/>
      <c r="F26" s="34"/>
      <c r="G26" s="34"/>
      <c r="H26" s="34"/>
      <c r="I26" s="235"/>
      <c r="J26" s="520"/>
    </row>
    <row r="27" spans="1:10" ht="22.5" customHeight="1">
      <c r="A27" s="42"/>
      <c r="B27" s="526"/>
      <c r="C27" s="34" t="s">
        <v>130</v>
      </c>
      <c r="D27" s="34"/>
      <c r="E27" s="34"/>
      <c r="F27" s="34"/>
      <c r="G27" s="34"/>
      <c r="H27" s="34"/>
      <c r="I27" s="235"/>
      <c r="J27" s="520"/>
    </row>
    <row r="28" spans="1:10" ht="53.25" customHeight="1">
      <c r="A28" s="42">
        <v>1</v>
      </c>
      <c r="B28" s="34" t="s">
        <v>456</v>
      </c>
      <c r="C28" s="34" t="s">
        <v>242</v>
      </c>
      <c r="D28" s="34" t="s">
        <v>132</v>
      </c>
      <c r="E28" s="221">
        <v>1000</v>
      </c>
      <c r="F28" s="749">
        <f>'Исход дан'!D11</f>
        <v>1095</v>
      </c>
      <c r="G28" s="221">
        <v>1</v>
      </c>
      <c r="H28" s="448">
        <v>0</v>
      </c>
      <c r="I28" s="235">
        <f aca="true" t="shared" si="2" ref="I28:I37">F28/E28*G28*H28</f>
        <v>0</v>
      </c>
      <c r="J28" s="688">
        <f>I28/J$6/12</f>
        <v>0</v>
      </c>
    </row>
    <row r="29" spans="1:11" ht="66" customHeight="1">
      <c r="A29" s="42">
        <v>2</v>
      </c>
      <c r="B29" s="34" t="s">
        <v>457</v>
      </c>
      <c r="C29" s="801" t="s">
        <v>310</v>
      </c>
      <c r="D29" s="34" t="s">
        <v>131</v>
      </c>
      <c r="E29" s="221">
        <v>1000</v>
      </c>
      <c r="F29" s="221">
        <f>'Исход дан'!D17</f>
        <v>498.5</v>
      </c>
      <c r="G29" s="221">
        <v>7</v>
      </c>
      <c r="H29" s="448">
        <f>9082.5*1.06*1.06/165.2*4*1.202*1.1</f>
        <v>326.71136206779664</v>
      </c>
      <c r="I29" s="235">
        <f>F29/E29*G29*H29</f>
        <v>1140.0592979355763</v>
      </c>
      <c r="J29" s="688">
        <f aca="true" t="shared" si="3" ref="J29:J38">I29/J$6/12</f>
        <v>0.08676250364806516</v>
      </c>
      <c r="K29" s="791" t="s">
        <v>513</v>
      </c>
    </row>
    <row r="30" spans="1:10" ht="67.5" customHeight="1">
      <c r="A30" s="42">
        <v>2</v>
      </c>
      <c r="B30" s="34" t="s">
        <v>457</v>
      </c>
      <c r="C30" s="801" t="s">
        <v>311</v>
      </c>
      <c r="D30" s="34" t="s">
        <v>131</v>
      </c>
      <c r="E30" s="221">
        <v>1000</v>
      </c>
      <c r="F30" s="221">
        <f>'Исход дан'!D17</f>
        <v>498.5</v>
      </c>
      <c r="G30" s="221">
        <v>0</v>
      </c>
      <c r="H30" s="448">
        <f>9082.5*1.06*1.06/165.2*4*1.202</f>
        <v>297.0103291525424</v>
      </c>
      <c r="I30" s="235">
        <f t="shared" si="2"/>
        <v>0</v>
      </c>
      <c r="J30" s="688">
        <f t="shared" si="3"/>
        <v>0</v>
      </c>
    </row>
    <row r="31" spans="1:10" ht="54" customHeight="1">
      <c r="A31" s="42">
        <v>3</v>
      </c>
      <c r="B31" s="34" t="s">
        <v>458</v>
      </c>
      <c r="C31" s="801" t="s">
        <v>439</v>
      </c>
      <c r="D31" s="34" t="s">
        <v>168</v>
      </c>
      <c r="E31" s="221">
        <v>1</v>
      </c>
      <c r="F31" s="221">
        <f>'Исход дан'!D5</f>
        <v>24</v>
      </c>
      <c r="G31" s="221">
        <v>1</v>
      </c>
      <c r="H31" s="448">
        <v>0</v>
      </c>
      <c r="I31" s="235">
        <f t="shared" si="2"/>
        <v>0</v>
      </c>
      <c r="J31" s="688">
        <f t="shared" si="3"/>
        <v>0</v>
      </c>
    </row>
    <row r="32" spans="1:11" ht="57" customHeight="1">
      <c r="A32" s="42">
        <v>4</v>
      </c>
      <c r="B32" s="34" t="s">
        <v>459</v>
      </c>
      <c r="C32" s="801" t="s">
        <v>312</v>
      </c>
      <c r="D32" s="34" t="s">
        <v>131</v>
      </c>
      <c r="E32" s="750">
        <v>1000</v>
      </c>
      <c r="F32" s="221">
        <f>'Исход дан'!D17</f>
        <v>498.5</v>
      </c>
      <c r="G32" s="221">
        <v>12</v>
      </c>
      <c r="H32" s="448">
        <f>9082.5*1.06*1.06/165.2*4*1.202</f>
        <v>297.0103291525424</v>
      </c>
      <c r="I32" s="235">
        <f t="shared" si="2"/>
        <v>1776.7157889905086</v>
      </c>
      <c r="J32" s="885">
        <f t="shared" si="3"/>
        <v>0.13521429139958208</v>
      </c>
      <c r="K32" s="791" t="s">
        <v>513</v>
      </c>
    </row>
    <row r="33" spans="1:10" ht="40.5" customHeight="1">
      <c r="A33" s="42">
        <v>5</v>
      </c>
      <c r="B33" s="34" t="s">
        <v>459</v>
      </c>
      <c r="C33" s="34" t="s">
        <v>305</v>
      </c>
      <c r="D33" s="34" t="s">
        <v>131</v>
      </c>
      <c r="E33" s="750">
        <v>1000</v>
      </c>
      <c r="F33" s="221">
        <f>'Исход дан'!D15</f>
        <v>498.5</v>
      </c>
      <c r="G33" s="221">
        <v>12</v>
      </c>
      <c r="H33" s="221">
        <v>0</v>
      </c>
      <c r="I33" s="235">
        <f t="shared" si="2"/>
        <v>0</v>
      </c>
      <c r="J33" s="688">
        <f t="shared" si="3"/>
        <v>0</v>
      </c>
    </row>
    <row r="34" spans="1:10" ht="69" customHeight="1">
      <c r="A34" s="42">
        <v>6</v>
      </c>
      <c r="B34" s="34" t="s">
        <v>460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6</v>
      </c>
      <c r="G34" s="221">
        <v>4</v>
      </c>
      <c r="H34" s="448">
        <f>9082.5*1.06*1.06/165.2*9*1.202</f>
        <v>668.2732405932204</v>
      </c>
      <c r="I34" s="235">
        <f t="shared" si="2"/>
        <v>160.3855777423729</v>
      </c>
      <c r="J34" s="688">
        <f t="shared" si="3"/>
        <v>0.012205903937775715</v>
      </c>
    </row>
    <row r="35" spans="1:10" ht="66" customHeight="1">
      <c r="A35" s="42">
        <v>7</v>
      </c>
      <c r="B35" s="34" t="s">
        <v>461</v>
      </c>
      <c r="C35" s="34" t="s">
        <v>135</v>
      </c>
      <c r="D35" s="34" t="s">
        <v>506</v>
      </c>
      <c r="E35" s="221">
        <v>1</v>
      </c>
      <c r="F35" s="221">
        <f>'Исход дан'!D28</f>
        <v>1</v>
      </c>
      <c r="G35" s="221">
        <v>12</v>
      </c>
      <c r="H35" s="786"/>
      <c r="I35" s="235">
        <f t="shared" si="2"/>
        <v>0</v>
      </c>
      <c r="J35" s="688">
        <f t="shared" si="3"/>
        <v>0</v>
      </c>
    </row>
    <row r="36" spans="1:10" ht="66.75" customHeight="1">
      <c r="A36" s="42">
        <v>8</v>
      </c>
      <c r="B36" s="34" t="s">
        <v>493</v>
      </c>
      <c r="C36" s="34" t="s">
        <v>374</v>
      </c>
      <c r="D36" s="34" t="s">
        <v>137</v>
      </c>
      <c r="E36" s="221">
        <v>1000</v>
      </c>
      <c r="F36" s="749">
        <f>'Исход дан'!D12</f>
        <v>1095</v>
      </c>
      <c r="G36" s="221">
        <v>4</v>
      </c>
      <c r="H36" s="221">
        <v>0</v>
      </c>
      <c r="I36" s="235">
        <f t="shared" si="2"/>
        <v>0</v>
      </c>
      <c r="J36" s="688">
        <f t="shared" si="3"/>
        <v>0</v>
      </c>
    </row>
    <row r="37" spans="1:10" ht="66" customHeight="1">
      <c r="A37" s="42">
        <v>9</v>
      </c>
      <c r="B37" s="34" t="s">
        <v>493</v>
      </c>
      <c r="C37" s="34" t="s">
        <v>136</v>
      </c>
      <c r="D37" s="34" t="s">
        <v>137</v>
      </c>
      <c r="E37" s="221">
        <v>1000</v>
      </c>
      <c r="F37" s="221">
        <f>'Исход дан'!D17</f>
        <v>498.5</v>
      </c>
      <c r="G37" s="221">
        <v>4</v>
      </c>
      <c r="H37" s="448">
        <f>9082.5*1.06*1.06/165.2*8*1.202</f>
        <v>594.0206583050848</v>
      </c>
      <c r="I37" s="235">
        <f t="shared" si="2"/>
        <v>1184.4771926603391</v>
      </c>
      <c r="J37" s="885">
        <f t="shared" si="3"/>
        <v>0.09014286093305474</v>
      </c>
    </row>
    <row r="38" spans="1:10" ht="28.5" customHeight="1">
      <c r="A38" s="745">
        <v>10</v>
      </c>
      <c r="B38" s="746" t="s">
        <v>138</v>
      </c>
      <c r="C38" s="746"/>
      <c r="D38" s="746"/>
      <c r="E38" s="746"/>
      <c r="F38" s="746"/>
      <c r="G38" s="746"/>
      <c r="H38" s="746"/>
      <c r="I38" s="747">
        <f>SUM(I28:I37)</f>
        <v>4261.637857328797</v>
      </c>
      <c r="J38" s="748">
        <f t="shared" si="3"/>
        <v>0.32432555991847767</v>
      </c>
    </row>
    <row r="39" spans="1:10" ht="12.75">
      <c r="A39" s="521"/>
      <c r="B39" s="522"/>
      <c r="C39" s="522"/>
      <c r="D39" s="522"/>
      <c r="E39" s="522"/>
      <c r="F39" s="522"/>
      <c r="G39" s="522"/>
      <c r="H39" s="522"/>
      <c r="I39" s="527"/>
      <c r="J39" s="520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18941.613428712066</v>
      </c>
      <c r="J40" s="342">
        <f>I40/J6/12</f>
        <v>1.4415230919872197</v>
      </c>
      <c r="K40" s="924"/>
      <c r="L40" s="925"/>
      <c r="M40" s="925"/>
    </row>
    <row r="41" spans="1:13" ht="108" thickBot="1">
      <c r="A41" s="528"/>
      <c r="B41" s="523"/>
      <c r="C41" s="819" t="s">
        <v>691</v>
      </c>
      <c r="D41" s="523"/>
      <c r="E41" s="523"/>
      <c r="F41" s="523"/>
      <c r="G41" s="523"/>
      <c r="H41" s="523"/>
      <c r="I41" s="820">
        <v>12439.87</v>
      </c>
      <c r="J41" s="838">
        <f>I41/12/1.44019/1000</f>
        <v>0.719804910000301</v>
      </c>
      <c r="K41" s="877"/>
      <c r="L41" s="877"/>
      <c r="M41" s="877"/>
    </row>
    <row r="42" spans="1:13" ht="19.5">
      <c r="A42" s="136"/>
      <c r="B42" s="34"/>
      <c r="C42" s="882" t="s">
        <v>702</v>
      </c>
      <c r="D42" s="34"/>
      <c r="E42" s="34"/>
      <c r="F42" s="34"/>
      <c r="G42" s="34"/>
      <c r="H42" s="34"/>
      <c r="I42" s="883">
        <v>10500.26</v>
      </c>
      <c r="J42" s="442"/>
      <c r="K42" s="877"/>
      <c r="L42" s="877"/>
      <c r="M42" s="877"/>
    </row>
    <row r="43" spans="1:13" ht="12.75">
      <c r="A43" s="136"/>
      <c r="B43" s="34"/>
      <c r="C43" s="819" t="s">
        <v>704</v>
      </c>
      <c r="D43" s="34"/>
      <c r="E43" s="34"/>
      <c r="F43" s="34"/>
      <c r="G43" s="34"/>
      <c r="H43" s="34"/>
      <c r="I43" s="821">
        <v>1582.2</v>
      </c>
      <c r="J43" s="442"/>
      <c r="K43" s="877"/>
      <c r="L43" s="877"/>
      <c r="M43" s="877"/>
    </row>
    <row r="44" spans="1:13" ht="12.75">
      <c r="A44" s="136"/>
      <c r="B44" s="136"/>
      <c r="C44" s="836" t="s">
        <v>705</v>
      </c>
      <c r="D44" s="136"/>
      <c r="E44" s="136"/>
      <c r="F44" s="136"/>
      <c r="G44" s="136"/>
      <c r="H44" s="136"/>
      <c r="I44" s="837">
        <v>1091.7</v>
      </c>
      <c r="J44" s="838"/>
      <c r="K44" s="877"/>
      <c r="L44" s="877"/>
      <c r="M44" s="877"/>
    </row>
    <row r="45" spans="1:13" ht="12.75">
      <c r="A45" s="136"/>
      <c r="B45" s="136"/>
      <c r="C45" s="836" t="s">
        <v>706</v>
      </c>
      <c r="D45" s="136"/>
      <c r="E45" s="136"/>
      <c r="F45" s="136"/>
      <c r="G45" s="136"/>
      <c r="H45" s="136"/>
      <c r="I45" s="837">
        <v>3399.96</v>
      </c>
      <c r="J45" s="838"/>
      <c r="K45" s="877"/>
      <c r="L45" s="877"/>
      <c r="M45" s="877"/>
    </row>
    <row r="46" spans="1:13" ht="12.75">
      <c r="A46" s="136"/>
      <c r="B46" s="136"/>
      <c r="C46" s="836" t="s">
        <v>707</v>
      </c>
      <c r="D46" s="136"/>
      <c r="E46" s="136"/>
      <c r="F46" s="136"/>
      <c r="G46" s="136"/>
      <c r="H46" s="136"/>
      <c r="I46" s="837">
        <v>4221.4</v>
      </c>
      <c r="J46" s="838"/>
      <c r="K46" s="877"/>
      <c r="L46" s="877"/>
      <c r="M46" s="877"/>
    </row>
    <row r="47" spans="1:15" ht="12.75">
      <c r="A47" s="136"/>
      <c r="B47" s="136"/>
      <c r="C47" s="836" t="s">
        <v>728</v>
      </c>
      <c r="D47" s="136"/>
      <c r="E47" s="136"/>
      <c r="F47" s="136"/>
      <c r="G47" s="136"/>
      <c r="H47" s="136"/>
      <c r="I47" s="837">
        <f>15112.17-2229.85</f>
        <v>12882.32</v>
      </c>
      <c r="J47" s="838"/>
      <c r="K47" s="931" t="s">
        <v>731</v>
      </c>
      <c r="L47" s="932"/>
      <c r="M47" s="932"/>
      <c r="N47" s="932"/>
      <c r="O47" s="932"/>
    </row>
    <row r="48" spans="1:13" ht="12.75">
      <c r="A48" s="136"/>
      <c r="B48" s="136"/>
      <c r="C48" s="836" t="s">
        <v>732</v>
      </c>
      <c r="D48" s="136"/>
      <c r="E48" s="136"/>
      <c r="F48" s="136"/>
      <c r="G48" s="136"/>
      <c r="H48" s="136"/>
      <c r="I48" s="837">
        <v>648.11</v>
      </c>
      <c r="J48" s="838"/>
      <c r="K48" s="877"/>
      <c r="L48" s="877"/>
      <c r="M48" s="877"/>
    </row>
    <row r="49" spans="1:15" ht="12.75">
      <c r="A49" s="136"/>
      <c r="B49" s="136"/>
      <c r="C49" s="836" t="s">
        <v>740</v>
      </c>
      <c r="D49" s="136"/>
      <c r="E49" s="136"/>
      <c r="F49" s="136"/>
      <c r="G49" s="136"/>
      <c r="H49" s="136"/>
      <c r="I49" s="837">
        <f>I44+I46+I48</f>
        <v>5961.209999999999</v>
      </c>
      <c r="J49" s="838"/>
      <c r="K49" s="933" t="s">
        <v>734</v>
      </c>
      <c r="L49" s="934"/>
      <c r="M49" s="934"/>
      <c r="N49" s="934"/>
      <c r="O49" s="934"/>
    </row>
    <row r="50" spans="1:15" ht="12.75">
      <c r="A50" s="136"/>
      <c r="B50" s="136"/>
      <c r="C50" s="836" t="s">
        <v>741</v>
      </c>
      <c r="D50" s="136"/>
      <c r="E50" s="136"/>
      <c r="F50" s="136"/>
      <c r="G50" s="136"/>
      <c r="H50" s="136"/>
      <c r="I50" s="837">
        <f>I43+I45+I47</f>
        <v>17864.48</v>
      </c>
      <c r="J50" s="838"/>
      <c r="K50" s="933" t="s">
        <v>735</v>
      </c>
      <c r="L50" s="934"/>
      <c r="M50" s="934"/>
      <c r="N50" s="934"/>
      <c r="O50" s="934"/>
    </row>
    <row r="51" spans="1:15" ht="12.75">
      <c r="A51" s="136"/>
      <c r="B51" s="136"/>
      <c r="C51" s="836" t="s">
        <v>744</v>
      </c>
      <c r="D51" s="136"/>
      <c r="E51" s="136"/>
      <c r="F51" s="136"/>
      <c r="G51" s="136"/>
      <c r="H51" s="136"/>
      <c r="I51" s="837">
        <f>I49+I50</f>
        <v>23825.69</v>
      </c>
      <c r="J51" s="838"/>
      <c r="K51" s="879"/>
      <c r="L51" s="880"/>
      <c r="M51" s="880"/>
      <c r="N51" s="880"/>
      <c r="O51" s="880"/>
    </row>
    <row r="52" spans="1:15" ht="12.75">
      <c r="A52" s="136"/>
      <c r="B52" s="136"/>
      <c r="C52" s="836" t="s">
        <v>743</v>
      </c>
      <c r="D52" s="136"/>
      <c r="E52" s="136"/>
      <c r="F52" s="136"/>
      <c r="G52" s="136"/>
      <c r="H52" s="136"/>
      <c r="I52" s="837">
        <v>205</v>
      </c>
      <c r="J52" s="838"/>
      <c r="K52" s="879"/>
      <c r="L52" s="880"/>
      <c r="M52" s="880"/>
      <c r="N52" s="880"/>
      <c r="O52" s="880"/>
    </row>
    <row r="53" spans="1:15" ht="12.75">
      <c r="A53" s="136"/>
      <c r="B53" s="136"/>
      <c r="C53" s="836" t="s">
        <v>742</v>
      </c>
      <c r="D53" s="136"/>
      <c r="E53" s="136"/>
      <c r="F53" s="136"/>
      <c r="G53" s="136"/>
      <c r="H53" s="136"/>
      <c r="I53" s="837">
        <f>I51+I52</f>
        <v>24030.69</v>
      </c>
      <c r="J53" s="838"/>
      <c r="K53" s="936" t="s">
        <v>745</v>
      </c>
      <c r="L53" s="937"/>
      <c r="M53" s="937"/>
      <c r="N53" s="937"/>
      <c r="O53" s="937"/>
    </row>
    <row r="54" spans="1:15" ht="12.75">
      <c r="A54" s="529">
        <v>1</v>
      </c>
      <c r="B54" s="529">
        <v>2</v>
      </c>
      <c r="C54" s="529">
        <v>3</v>
      </c>
      <c r="D54" s="529">
        <v>4</v>
      </c>
      <c r="E54" s="529">
        <v>5</v>
      </c>
      <c r="F54" s="529">
        <v>6</v>
      </c>
      <c r="G54" s="529">
        <v>7</v>
      </c>
      <c r="H54" s="529">
        <v>8</v>
      </c>
      <c r="I54" s="529">
        <v>9</v>
      </c>
      <c r="J54" s="529">
        <v>10</v>
      </c>
      <c r="K54" s="933" t="s">
        <v>736</v>
      </c>
      <c r="L54" s="934"/>
      <c r="M54" s="934"/>
      <c r="N54" s="934"/>
      <c r="O54" s="934"/>
    </row>
    <row r="55" spans="1:15" ht="25.5" customHeight="1">
      <c r="A55" s="923" t="s">
        <v>492</v>
      </c>
      <c r="B55" s="923"/>
      <c r="C55" s="923"/>
      <c r="D55" s="923"/>
      <c r="E55" s="923"/>
      <c r="F55" s="923"/>
      <c r="G55" s="923"/>
      <c r="H55" s="923"/>
      <c r="I55" s="923"/>
      <c r="J55" s="923"/>
      <c r="K55" s="938" t="s">
        <v>737</v>
      </c>
      <c r="L55" s="938"/>
      <c r="M55" s="938"/>
      <c r="N55" s="938"/>
      <c r="O55" s="938"/>
    </row>
    <row r="56" spans="1:11" ht="25.5">
      <c r="A56" t="s">
        <v>516</v>
      </c>
      <c r="B56" s="806"/>
      <c r="C56" s="876" t="s">
        <v>699</v>
      </c>
      <c r="D56" s="806" t="s">
        <v>56</v>
      </c>
      <c r="E56" s="806"/>
      <c r="F56" s="806"/>
      <c r="G56" s="806"/>
      <c r="H56" s="806"/>
      <c r="I56" s="881">
        <f>648.11</f>
        <v>648.11</v>
      </c>
      <c r="J56" s="816">
        <f>I56/1440.19/12</f>
        <v>0.03750141763702474</v>
      </c>
      <c r="K56" s="791"/>
    </row>
    <row r="57" spans="1:10" ht="12.75">
      <c r="A57" t="s">
        <v>515</v>
      </c>
      <c r="B57" s="806"/>
      <c r="C57" s="833" t="s">
        <v>517</v>
      </c>
      <c r="D57" s="806" t="s">
        <v>56</v>
      </c>
      <c r="E57" s="806"/>
      <c r="F57" s="806"/>
      <c r="G57" s="806"/>
      <c r="H57" s="806"/>
      <c r="I57" s="806"/>
      <c r="J57" s="806"/>
    </row>
    <row r="58" spans="2:12" ht="63.75">
      <c r="B58" s="806" t="s">
        <v>528</v>
      </c>
      <c r="C58" s="809" t="s">
        <v>523</v>
      </c>
      <c r="D58" s="806" t="s">
        <v>518</v>
      </c>
      <c r="E58" s="806"/>
      <c r="F58" s="806">
        <v>2</v>
      </c>
      <c r="G58" s="806"/>
      <c r="H58" s="806">
        <v>1.4</v>
      </c>
      <c r="I58" s="813">
        <f>17199.5/165.2*1.4*1.342*2</f>
        <v>391.2157457627119</v>
      </c>
      <c r="J58" s="813">
        <f aca="true" t="shared" si="4" ref="J58:J65">I58/1440.19/12</f>
        <v>0.022636813300253893</v>
      </c>
      <c r="K58" s="791" t="s">
        <v>525</v>
      </c>
      <c r="L58">
        <v>4.5</v>
      </c>
    </row>
    <row r="59" spans="2:12" ht="38.25">
      <c r="B59" s="806" t="s">
        <v>529</v>
      </c>
      <c r="C59" s="809" t="s">
        <v>538</v>
      </c>
      <c r="D59" s="806" t="s">
        <v>520</v>
      </c>
      <c r="E59" s="806"/>
      <c r="F59" s="806">
        <v>2</v>
      </c>
      <c r="G59" s="806"/>
      <c r="H59" s="806">
        <v>2.8</v>
      </c>
      <c r="I59" s="813">
        <f>16085.1/165.2*2.8*1.342*2</f>
        <v>731.7357355932204</v>
      </c>
      <c r="J59" s="813">
        <f t="shared" si="4"/>
        <v>0.04234023147369562</v>
      </c>
      <c r="K59" s="791" t="s">
        <v>524</v>
      </c>
      <c r="L59">
        <v>3.4</v>
      </c>
    </row>
    <row r="60" spans="2:12" ht="12.75">
      <c r="B60" s="806" t="s">
        <v>530</v>
      </c>
      <c r="C60" s="809" t="s">
        <v>521</v>
      </c>
      <c r="D60" s="806" t="s">
        <v>522</v>
      </c>
      <c r="E60" s="806"/>
      <c r="F60" s="806">
        <v>20</v>
      </c>
      <c r="G60" s="806"/>
      <c r="H60" s="806">
        <v>0.52</v>
      </c>
      <c r="I60" s="813">
        <f>8381.7/165.2*0.52*1.342*20</f>
        <v>708.1217346246976</v>
      </c>
      <c r="J60" s="813">
        <f t="shared" si="4"/>
        <v>0.04097386077674344</v>
      </c>
      <c r="K60">
        <v>8381.7</v>
      </c>
      <c r="L60">
        <v>4</v>
      </c>
    </row>
    <row r="61" spans="2:12" ht="38.25">
      <c r="B61" s="806" t="s">
        <v>531</v>
      </c>
      <c r="C61" s="809" t="s">
        <v>526</v>
      </c>
      <c r="D61" s="806" t="s">
        <v>527</v>
      </c>
      <c r="E61" s="806"/>
      <c r="F61" s="806">
        <f>0.21*37</f>
        <v>7.77</v>
      </c>
      <c r="G61" s="806"/>
      <c r="H61" s="806">
        <v>0.49</v>
      </c>
      <c r="I61" s="813">
        <f>H61*8381.7/165.2*1.342*7.77</f>
        <v>259.23383463813565</v>
      </c>
      <c r="J61" s="813">
        <f t="shared" si="4"/>
        <v>0.014999978859163007</v>
      </c>
      <c r="K61">
        <v>8381.7</v>
      </c>
      <c r="L61">
        <v>4</v>
      </c>
    </row>
    <row r="62" spans="2:12" ht="38.25">
      <c r="B62" s="806" t="s">
        <v>533</v>
      </c>
      <c r="C62" s="809" t="s">
        <v>532</v>
      </c>
      <c r="D62" s="806" t="s">
        <v>165</v>
      </c>
      <c r="E62" s="806"/>
      <c r="F62" s="806">
        <v>7.77</v>
      </c>
      <c r="G62" s="806"/>
      <c r="H62" s="806">
        <v>1.29</v>
      </c>
      <c r="I62" s="813">
        <f>8381.7/165.2*1.29*1.342*7.77</f>
        <v>682.472748333051</v>
      </c>
      <c r="J62" s="813">
        <f t="shared" si="4"/>
        <v>0.03948974026187812</v>
      </c>
      <c r="K62">
        <v>8381.7</v>
      </c>
      <c r="L62">
        <v>3.2</v>
      </c>
    </row>
    <row r="63" spans="2:12" ht="76.5">
      <c r="B63" s="806" t="s">
        <v>539</v>
      </c>
      <c r="C63" s="809" t="s">
        <v>540</v>
      </c>
      <c r="D63" s="806" t="s">
        <v>536</v>
      </c>
      <c r="E63" s="806"/>
      <c r="F63" s="806">
        <v>3</v>
      </c>
      <c r="G63" s="806"/>
      <c r="H63" s="806">
        <v>1</v>
      </c>
      <c r="I63" s="813">
        <f>16521.2/165.2*1*3*1.342</f>
        <v>402.6292445520582</v>
      </c>
      <c r="J63" s="813">
        <f t="shared" si="4"/>
        <v>0.023297229564158098</v>
      </c>
      <c r="K63" s="791" t="s">
        <v>537</v>
      </c>
      <c r="L63">
        <v>5.3</v>
      </c>
    </row>
    <row r="64" spans="2:11" ht="12.75">
      <c r="B64" s="806" t="s">
        <v>534</v>
      </c>
      <c r="C64" s="809" t="s">
        <v>535</v>
      </c>
      <c r="D64" s="806" t="s">
        <v>536</v>
      </c>
      <c r="E64" s="806"/>
      <c r="F64" s="806">
        <v>3</v>
      </c>
      <c r="G64" s="806"/>
      <c r="H64" s="806">
        <v>1.3</v>
      </c>
      <c r="I64" s="813">
        <f>16521.2/165.2*1.3*3*1.342</f>
        <v>523.4180179176756</v>
      </c>
      <c r="J64" s="813">
        <f t="shared" si="4"/>
        <v>0.030286398433405522</v>
      </c>
      <c r="K64">
        <v>16521.2</v>
      </c>
    </row>
    <row r="65" spans="2:11" ht="63.75">
      <c r="B65" s="794" t="s">
        <v>543</v>
      </c>
      <c r="C65" s="809" t="s">
        <v>547</v>
      </c>
      <c r="D65" s="806" t="s">
        <v>542</v>
      </c>
      <c r="E65" s="806"/>
      <c r="F65" s="806">
        <v>2</v>
      </c>
      <c r="G65" s="806"/>
      <c r="H65" s="806">
        <v>2.335</v>
      </c>
      <c r="I65" s="813">
        <f>16521.2/165.2*2.335*2*1.342</f>
        <v>626.7595240193706</v>
      </c>
      <c r="J65" s="813">
        <f t="shared" si="4"/>
        <v>0.036266020688206106</v>
      </c>
      <c r="K65">
        <v>16085.1</v>
      </c>
    </row>
    <row r="66" spans="2:11" ht="12.75">
      <c r="B66" s="794" t="s">
        <v>541</v>
      </c>
      <c r="C66" s="809" t="s">
        <v>548</v>
      </c>
      <c r="D66" s="806" t="s">
        <v>542</v>
      </c>
      <c r="E66" s="806"/>
      <c r="F66" s="806"/>
      <c r="G66" s="806"/>
      <c r="H66" s="806">
        <v>2.208</v>
      </c>
      <c r="I66" s="813"/>
      <c r="J66" s="813"/>
      <c r="K66">
        <v>16085.1</v>
      </c>
    </row>
    <row r="67" spans="2:10" ht="25.5">
      <c r="B67" s="806" t="s">
        <v>546</v>
      </c>
      <c r="C67" s="808" t="s">
        <v>544</v>
      </c>
      <c r="D67" s="806" t="s">
        <v>545</v>
      </c>
      <c r="E67" s="806"/>
      <c r="F67" s="806">
        <v>0.2</v>
      </c>
      <c r="G67" s="806"/>
      <c r="H67" s="806">
        <v>8</v>
      </c>
      <c r="I67" s="813">
        <f>16085.1/165.2*0.2*8*1.342</f>
        <v>209.06735302663444</v>
      </c>
      <c r="J67" s="813">
        <f>I67/1440.19/12</f>
        <v>0.012097208992484466</v>
      </c>
    </row>
    <row r="68" spans="2:10" ht="12.75">
      <c r="B68" s="833"/>
      <c r="C68" s="833" t="s">
        <v>738</v>
      </c>
      <c r="D68" s="833"/>
      <c r="E68" s="833"/>
      <c r="F68" s="833"/>
      <c r="G68" s="833"/>
      <c r="H68" s="833"/>
      <c r="I68" s="834">
        <f>SUM(I58:I67)</f>
        <v>4534.653938467555</v>
      </c>
      <c r="J68" s="833"/>
    </row>
    <row r="69" spans="2:10" ht="12.75">
      <c r="B69" s="806"/>
      <c r="C69" s="808" t="s">
        <v>549</v>
      </c>
      <c r="D69" s="806"/>
      <c r="E69" s="806"/>
      <c r="F69" s="806"/>
      <c r="G69" s="806"/>
      <c r="H69" s="806" t="s">
        <v>56</v>
      </c>
      <c r="I69" s="806"/>
      <c r="J69" s="806"/>
    </row>
    <row r="70" spans="2:10" ht="12.75">
      <c r="B70" s="806" t="s">
        <v>550</v>
      </c>
      <c r="C70" s="808" t="s">
        <v>551</v>
      </c>
      <c r="D70" s="806" t="s">
        <v>552</v>
      </c>
      <c r="E70" s="806"/>
      <c r="F70" s="806">
        <v>2</v>
      </c>
      <c r="G70" s="806"/>
      <c r="H70" s="806">
        <v>120.7</v>
      </c>
      <c r="I70" s="806">
        <f>F70*H70</f>
        <v>241.4</v>
      </c>
      <c r="J70" s="806"/>
    </row>
    <row r="71" spans="2:10" ht="12.75">
      <c r="B71" s="806"/>
      <c r="C71" s="808" t="s">
        <v>553</v>
      </c>
      <c r="D71" s="806" t="s">
        <v>564</v>
      </c>
      <c r="E71" s="806"/>
      <c r="F71" s="806">
        <v>1</v>
      </c>
      <c r="G71" s="806"/>
      <c r="H71" s="806">
        <v>45</v>
      </c>
      <c r="I71" s="806">
        <f>F71*H71</f>
        <v>45</v>
      </c>
      <c r="J71" s="806"/>
    </row>
    <row r="72" spans="2:10" ht="12.75">
      <c r="B72" s="806"/>
      <c r="C72" s="808" t="s">
        <v>554</v>
      </c>
      <c r="D72" s="806" t="s">
        <v>570</v>
      </c>
      <c r="E72" s="806"/>
      <c r="F72" s="806">
        <v>1.5</v>
      </c>
      <c r="G72" s="806"/>
      <c r="H72" s="806">
        <v>39</v>
      </c>
      <c r="I72" s="806">
        <f>F72*H72</f>
        <v>58.5</v>
      </c>
      <c r="J72" s="806"/>
    </row>
    <row r="73" spans="2:10" ht="12.75">
      <c r="B73" s="806" t="s">
        <v>555</v>
      </c>
      <c r="C73" s="808" t="s">
        <v>556</v>
      </c>
      <c r="D73" s="806" t="s">
        <v>520</v>
      </c>
      <c r="E73" s="806"/>
      <c r="F73" s="806"/>
      <c r="G73" s="806"/>
      <c r="H73" s="806">
        <v>1800</v>
      </c>
      <c r="I73" s="806">
        <v>1800</v>
      </c>
      <c r="J73" s="806"/>
    </row>
    <row r="74" spans="2:10" ht="12.75">
      <c r="B74" s="806"/>
      <c r="C74" s="808" t="s">
        <v>557</v>
      </c>
      <c r="D74" s="806" t="s">
        <v>520</v>
      </c>
      <c r="E74" s="806"/>
      <c r="F74" s="806"/>
      <c r="G74" s="806"/>
      <c r="H74" s="806">
        <v>953</v>
      </c>
      <c r="I74" s="806">
        <v>953</v>
      </c>
      <c r="J74" s="806"/>
    </row>
    <row r="75" spans="2:10" ht="12.75">
      <c r="B75" s="806" t="s">
        <v>558</v>
      </c>
      <c r="C75" s="808" t="s">
        <v>559</v>
      </c>
      <c r="D75" s="806" t="s">
        <v>561</v>
      </c>
      <c r="E75" s="806"/>
      <c r="F75" s="806">
        <v>20</v>
      </c>
      <c r="G75" s="806"/>
      <c r="H75" s="806">
        <v>114.5</v>
      </c>
      <c r="I75" s="806">
        <f aca="true" t="shared" si="5" ref="I75:I81">F75*H75</f>
        <v>2290</v>
      </c>
      <c r="J75" s="806"/>
    </row>
    <row r="76" spans="2:10" ht="12.75">
      <c r="B76" s="806"/>
      <c r="C76" s="808" t="s">
        <v>560</v>
      </c>
      <c r="D76" s="806" t="s">
        <v>561</v>
      </c>
      <c r="E76" s="806"/>
      <c r="F76" s="806"/>
      <c r="G76" s="806"/>
      <c r="H76" s="806">
        <v>0</v>
      </c>
      <c r="I76" s="806">
        <f t="shared" si="5"/>
        <v>0</v>
      </c>
      <c r="J76" s="806"/>
    </row>
    <row r="77" spans="2:10" ht="12.75">
      <c r="B77" s="806" t="s">
        <v>562</v>
      </c>
      <c r="C77" s="808" t="s">
        <v>563</v>
      </c>
      <c r="D77" s="806" t="s">
        <v>564</v>
      </c>
      <c r="E77" s="806"/>
      <c r="F77" s="806">
        <v>1.6</v>
      </c>
      <c r="G77" s="806"/>
      <c r="H77" s="806">
        <v>50</v>
      </c>
      <c r="I77" s="806">
        <f t="shared" si="5"/>
        <v>80</v>
      </c>
      <c r="J77" s="806"/>
    </row>
    <row r="78" spans="2:10" ht="12.75">
      <c r="B78" s="806" t="s">
        <v>565</v>
      </c>
      <c r="C78" s="808" t="s">
        <v>567</v>
      </c>
      <c r="D78" s="806" t="s">
        <v>566</v>
      </c>
      <c r="E78" s="806"/>
      <c r="F78" s="806">
        <v>0.315</v>
      </c>
      <c r="G78" s="806"/>
      <c r="H78" s="806">
        <v>24</v>
      </c>
      <c r="I78" s="806">
        <f t="shared" si="5"/>
        <v>7.5600000000000005</v>
      </c>
      <c r="J78" s="806"/>
    </row>
    <row r="79" spans="2:10" ht="12.75">
      <c r="B79" s="806"/>
      <c r="C79" s="808" t="s">
        <v>701</v>
      </c>
      <c r="D79" s="806" t="s">
        <v>552</v>
      </c>
      <c r="E79" s="806"/>
      <c r="F79" s="806">
        <v>0.87</v>
      </c>
      <c r="G79" s="806"/>
      <c r="H79" s="806">
        <v>1.27</v>
      </c>
      <c r="I79" s="813">
        <f t="shared" si="5"/>
        <v>1.1049</v>
      </c>
      <c r="J79" s="806"/>
    </row>
    <row r="80" spans="2:10" ht="12.75">
      <c r="B80" s="806" t="s">
        <v>568</v>
      </c>
      <c r="C80" s="808" t="s">
        <v>569</v>
      </c>
      <c r="D80" s="806" t="s">
        <v>315</v>
      </c>
      <c r="E80" s="806"/>
      <c r="F80" s="806">
        <v>6</v>
      </c>
      <c r="G80" s="806"/>
      <c r="H80" s="806">
        <v>38</v>
      </c>
      <c r="I80" s="806">
        <f t="shared" si="5"/>
        <v>228</v>
      </c>
      <c r="J80" s="806"/>
    </row>
    <row r="81" spans="2:10" ht="12.75">
      <c r="B81" s="806" t="s">
        <v>573</v>
      </c>
      <c r="C81" s="808" t="s">
        <v>571</v>
      </c>
      <c r="D81" s="806" t="s">
        <v>572</v>
      </c>
      <c r="E81" s="806"/>
      <c r="F81" s="806">
        <v>2</v>
      </c>
      <c r="G81" s="806"/>
      <c r="H81" s="806">
        <v>120</v>
      </c>
      <c r="I81" s="806">
        <f t="shared" si="5"/>
        <v>240</v>
      </c>
      <c r="J81" s="806"/>
    </row>
    <row r="82" spans="2:10" ht="12.75">
      <c r="B82" s="833"/>
      <c r="C82" s="833"/>
      <c r="D82" s="833"/>
      <c r="E82" s="833"/>
      <c r="F82" s="833"/>
      <c r="G82" s="833"/>
      <c r="H82" s="833"/>
      <c r="I82" s="833">
        <f>SUM(I70:I81)</f>
        <v>5944.5649</v>
      </c>
      <c r="J82" s="833"/>
    </row>
    <row r="83" spans="2:10" ht="12.75">
      <c r="B83" s="795" t="s">
        <v>655</v>
      </c>
      <c r="C83" s="800" t="s">
        <v>641</v>
      </c>
      <c r="D83" s="795"/>
      <c r="E83" s="795"/>
      <c r="F83" s="795"/>
      <c r="G83" s="795"/>
      <c r="H83" s="795"/>
      <c r="I83" s="795"/>
      <c r="J83" s="795"/>
    </row>
    <row r="84" spans="2:11" ht="12.75">
      <c r="B84" s="795"/>
      <c r="C84" s="795" t="s">
        <v>642</v>
      </c>
      <c r="D84" s="795" t="s">
        <v>656</v>
      </c>
      <c r="E84" s="795"/>
      <c r="F84" s="795">
        <v>5</v>
      </c>
      <c r="G84" s="795"/>
      <c r="H84" s="795">
        <v>0.2</v>
      </c>
      <c r="I84" s="798">
        <f>8381.7/165.2*5*0.2*1.342</f>
        <v>68.08862832929785</v>
      </c>
      <c r="J84" s="797">
        <f>I84/1440.19/12</f>
        <v>0.0039397943054561</v>
      </c>
      <c r="K84" s="796">
        <v>3</v>
      </c>
    </row>
    <row r="85" spans="2:10" ht="25.5">
      <c r="B85" s="795"/>
      <c r="C85" s="799" t="s">
        <v>657</v>
      </c>
      <c r="D85" s="795" t="s">
        <v>608</v>
      </c>
      <c r="E85" s="795"/>
      <c r="F85" s="795">
        <v>2</v>
      </c>
      <c r="G85" s="795"/>
      <c r="H85" s="795">
        <v>0.19</v>
      </c>
      <c r="I85" s="798">
        <f>7914.8*1.059/165.2*0.19*2*1.342</f>
        <v>25.873904728038745</v>
      </c>
      <c r="J85" s="797">
        <f>I85/1440.19/12</f>
        <v>0.0014971349109052015</v>
      </c>
    </row>
    <row r="86" spans="2:10" ht="12.75">
      <c r="B86" s="795"/>
      <c r="C86" s="795" t="s">
        <v>658</v>
      </c>
      <c r="D86" s="795"/>
      <c r="E86" s="795"/>
      <c r="F86" s="795">
        <v>5</v>
      </c>
      <c r="G86" s="795"/>
      <c r="H86" s="795">
        <v>3.8</v>
      </c>
      <c r="I86" s="795">
        <f>40*3.8</f>
        <v>152</v>
      </c>
      <c r="J86" s="798">
        <f>I86/1440.19/12</f>
        <v>0.008795135826985791</v>
      </c>
    </row>
    <row r="87" spans="2:10" ht="12.75">
      <c r="B87" s="795"/>
      <c r="C87" s="795" t="s">
        <v>659</v>
      </c>
      <c r="D87" s="795" t="s">
        <v>660</v>
      </c>
      <c r="E87" s="795"/>
      <c r="F87" s="795">
        <v>2</v>
      </c>
      <c r="G87" s="795"/>
      <c r="H87" s="795">
        <v>33.2</v>
      </c>
      <c r="I87" s="795">
        <f>H87*F87</f>
        <v>66.4</v>
      </c>
      <c r="J87" s="797">
        <f>I87/1440.19/12</f>
        <v>0.003842085650735898</v>
      </c>
    </row>
    <row r="88" spans="2:14" ht="12.75">
      <c r="B88" s="795"/>
      <c r="C88" s="800" t="s">
        <v>692</v>
      </c>
      <c r="D88" s="795"/>
      <c r="E88" s="795"/>
      <c r="F88" s="795"/>
      <c r="G88" s="795"/>
      <c r="H88" s="795"/>
      <c r="I88" s="878">
        <f>I84+I85</f>
        <v>93.9625330573366</v>
      </c>
      <c r="J88" s="798"/>
      <c r="K88" s="935"/>
      <c r="L88" s="910"/>
      <c r="M88" s="910"/>
      <c r="N88" s="910"/>
    </row>
    <row r="89" spans="2:14" ht="12.75">
      <c r="B89" s="795"/>
      <c r="C89" s="800" t="s">
        <v>693</v>
      </c>
      <c r="D89" s="795"/>
      <c r="E89" s="795"/>
      <c r="F89" s="795"/>
      <c r="G89" s="795"/>
      <c r="H89" s="795"/>
      <c r="I89" s="800">
        <f>I86+I87</f>
        <v>218.4</v>
      </c>
      <c r="J89" s="798"/>
      <c r="K89" s="935"/>
      <c r="L89" s="910"/>
      <c r="M89" s="910"/>
      <c r="N89" s="910"/>
    </row>
    <row r="90" spans="2:12" ht="12.75">
      <c r="B90" s="795"/>
      <c r="C90" s="795" t="s">
        <v>694</v>
      </c>
      <c r="D90" s="795"/>
      <c r="E90" s="795"/>
      <c r="F90" s="795"/>
      <c r="G90" s="795"/>
      <c r="H90" s="795"/>
      <c r="I90" s="798">
        <f>I56+I82+I89</f>
        <v>6811.0749</v>
      </c>
      <c r="J90" s="798"/>
      <c r="K90" s="935" t="s">
        <v>739</v>
      </c>
      <c r="L90" s="910"/>
    </row>
    <row r="91" spans="2:11" ht="12.75">
      <c r="B91" s="795"/>
      <c r="C91" s="832" t="s">
        <v>695</v>
      </c>
      <c r="D91" s="795"/>
      <c r="E91" s="795"/>
      <c r="F91" s="795"/>
      <c r="G91" s="795"/>
      <c r="H91" s="795"/>
      <c r="I91" s="798">
        <f>I68+I88</f>
        <v>4628.6164715248915</v>
      </c>
      <c r="J91" s="798"/>
      <c r="K91">
        <v>3306</v>
      </c>
    </row>
    <row r="92" spans="2:11" ht="12.75">
      <c r="B92" s="795"/>
      <c r="C92" s="832" t="s">
        <v>700</v>
      </c>
      <c r="D92" s="795"/>
      <c r="E92" s="795"/>
      <c r="F92" s="795"/>
      <c r="G92" s="795"/>
      <c r="H92" s="795"/>
      <c r="I92" s="798"/>
      <c r="J92" s="798"/>
      <c r="K92">
        <v>521</v>
      </c>
    </row>
    <row r="93" spans="2:10" ht="12.75">
      <c r="B93" s="795"/>
      <c r="C93" s="832"/>
      <c r="D93" s="795"/>
      <c r="E93" s="795"/>
      <c r="F93" s="795"/>
      <c r="G93" s="795"/>
      <c r="H93" s="795"/>
      <c r="I93" s="798"/>
      <c r="J93" s="798"/>
    </row>
    <row r="94" spans="2:10" ht="25.5">
      <c r="B94" s="806"/>
      <c r="C94" s="807" t="s">
        <v>703</v>
      </c>
      <c r="D94" s="806"/>
      <c r="E94" s="806"/>
      <c r="F94" s="806"/>
      <c r="G94" s="806"/>
      <c r="H94" s="806"/>
      <c r="I94" s="806"/>
      <c r="J94" s="806"/>
    </row>
    <row r="95" spans="2:13" ht="38.25">
      <c r="B95" s="806" t="s">
        <v>575</v>
      </c>
      <c r="C95" s="808" t="s">
        <v>574</v>
      </c>
      <c r="D95" s="806"/>
      <c r="E95" s="806"/>
      <c r="F95" s="806"/>
      <c r="G95" s="806"/>
      <c r="H95" s="806"/>
      <c r="I95" s="806"/>
      <c r="J95" s="806"/>
      <c r="L95" s="791" t="s">
        <v>646</v>
      </c>
      <c r="M95" s="791" t="s">
        <v>648</v>
      </c>
    </row>
    <row r="96" spans="2:13" ht="12.75">
      <c r="B96" s="806"/>
      <c r="C96" s="808" t="s">
        <v>577</v>
      </c>
      <c r="D96" s="806" t="s">
        <v>576</v>
      </c>
      <c r="E96" s="806"/>
      <c r="F96" s="806"/>
      <c r="G96" s="806"/>
      <c r="H96" s="806">
        <v>0.33</v>
      </c>
      <c r="I96" s="806"/>
      <c r="J96" s="806"/>
      <c r="K96">
        <v>3</v>
      </c>
      <c r="L96" t="s">
        <v>647</v>
      </c>
      <c r="M96" t="s">
        <v>649</v>
      </c>
    </row>
    <row r="97" spans="2:13" ht="12.75">
      <c r="B97" s="806"/>
      <c r="C97" s="808" t="s">
        <v>578</v>
      </c>
      <c r="D97" s="806" t="s">
        <v>576</v>
      </c>
      <c r="E97" s="806"/>
      <c r="F97" s="806"/>
      <c r="G97" s="806"/>
      <c r="H97" s="806">
        <v>0.54</v>
      </c>
      <c r="I97" s="806"/>
      <c r="J97" s="806"/>
      <c r="L97" t="s">
        <v>545</v>
      </c>
      <c r="M97" t="s">
        <v>650</v>
      </c>
    </row>
    <row r="98" spans="2:13" ht="12.75">
      <c r="B98" s="806"/>
      <c r="C98" s="808" t="s">
        <v>651</v>
      </c>
      <c r="D98" s="806"/>
      <c r="E98" s="806"/>
      <c r="F98" s="806"/>
      <c r="G98" s="806"/>
      <c r="H98" s="806"/>
      <c r="I98" s="806"/>
      <c r="J98" s="806"/>
      <c r="L98">
        <v>2.14</v>
      </c>
      <c r="M98" t="s">
        <v>652</v>
      </c>
    </row>
    <row r="99" spans="2:12" ht="51">
      <c r="B99" s="806" t="s">
        <v>579</v>
      </c>
      <c r="C99" s="808" t="s">
        <v>580</v>
      </c>
      <c r="D99" s="806" t="s">
        <v>581</v>
      </c>
      <c r="E99" s="806"/>
      <c r="F99" s="806"/>
      <c r="G99" s="806"/>
      <c r="H99" s="806">
        <v>0.9</v>
      </c>
      <c r="I99" s="806"/>
      <c r="J99" s="806"/>
      <c r="K99">
        <v>2.4</v>
      </c>
      <c r="L99" s="791" t="s">
        <v>654</v>
      </c>
    </row>
    <row r="100" spans="2:12" ht="76.5">
      <c r="B100" s="806" t="s">
        <v>582</v>
      </c>
      <c r="C100" s="808" t="s">
        <v>583</v>
      </c>
      <c r="D100" s="809" t="s">
        <v>584</v>
      </c>
      <c r="E100" s="806"/>
      <c r="F100" s="806"/>
      <c r="G100" s="806"/>
      <c r="H100" s="806">
        <v>3.3</v>
      </c>
      <c r="I100" s="806"/>
      <c r="J100" s="806"/>
      <c r="K100">
        <v>2.4</v>
      </c>
      <c r="L100" s="791" t="s">
        <v>653</v>
      </c>
    </row>
    <row r="101" spans="2:11" ht="38.25">
      <c r="B101" s="806" t="s">
        <v>585</v>
      </c>
      <c r="C101" s="808" t="s">
        <v>586</v>
      </c>
      <c r="D101" s="806" t="s">
        <v>587</v>
      </c>
      <c r="E101" s="806"/>
      <c r="F101" s="806"/>
      <c r="G101" s="806"/>
      <c r="H101" s="806">
        <v>12</v>
      </c>
      <c r="I101" s="806"/>
      <c r="J101" s="806"/>
      <c r="K101">
        <v>2.3</v>
      </c>
    </row>
    <row r="102" spans="2:12" ht="25.5">
      <c r="B102" s="806" t="s">
        <v>589</v>
      </c>
      <c r="C102" s="808" t="s">
        <v>588</v>
      </c>
      <c r="D102" s="806"/>
      <c r="E102" s="806"/>
      <c r="F102" s="806"/>
      <c r="G102" s="806"/>
      <c r="H102" s="806">
        <v>0.55</v>
      </c>
      <c r="I102" s="806"/>
      <c r="J102" s="806"/>
      <c r="K102">
        <v>3</v>
      </c>
      <c r="L102" s="791" t="s">
        <v>631</v>
      </c>
    </row>
    <row r="103" spans="2:12" ht="89.25">
      <c r="B103" s="806" t="s">
        <v>590</v>
      </c>
      <c r="C103" s="808" t="s">
        <v>591</v>
      </c>
      <c r="D103" s="806" t="s">
        <v>572</v>
      </c>
      <c r="E103" s="806"/>
      <c r="F103" s="806"/>
      <c r="G103" s="806"/>
      <c r="H103" s="806">
        <v>0.66</v>
      </c>
      <c r="I103" s="806"/>
      <c r="J103" s="806"/>
      <c r="K103">
        <v>2.3</v>
      </c>
      <c r="L103" s="791" t="s">
        <v>643</v>
      </c>
    </row>
    <row r="104" spans="2:12" ht="25.5">
      <c r="B104" s="806" t="s">
        <v>594</v>
      </c>
      <c r="C104" s="808" t="s">
        <v>592</v>
      </c>
      <c r="D104" s="806" t="s">
        <v>593</v>
      </c>
      <c r="E104" s="806"/>
      <c r="F104" s="806"/>
      <c r="G104" s="806"/>
      <c r="H104" s="806">
        <v>0.36</v>
      </c>
      <c r="I104" s="806"/>
      <c r="J104" s="806"/>
      <c r="K104">
        <v>2.3</v>
      </c>
      <c r="L104" s="791" t="s">
        <v>632</v>
      </c>
    </row>
    <row r="105" spans="2:12" ht="76.5">
      <c r="B105" s="806" t="s">
        <v>595</v>
      </c>
      <c r="C105" s="810" t="s">
        <v>670</v>
      </c>
      <c r="D105" s="811" t="s">
        <v>593</v>
      </c>
      <c r="E105" s="811"/>
      <c r="F105" s="811">
        <v>4</v>
      </c>
      <c r="G105" s="811"/>
      <c r="H105" s="811">
        <v>0.49</v>
      </c>
      <c r="I105" s="812">
        <f>7914.8*1.059*2/165.2*4*0.49*1.342*1.25</f>
        <v>333.63719254576273</v>
      </c>
      <c r="J105" s="812">
        <f>I105/1440.19/12</f>
        <v>0.01930516069325128</v>
      </c>
      <c r="K105" s="803">
        <v>2.3</v>
      </c>
      <c r="L105" s="804" t="s">
        <v>644</v>
      </c>
    </row>
    <row r="106" spans="2:12" ht="12.75">
      <c r="B106" s="806" t="s">
        <v>671</v>
      </c>
      <c r="C106" s="810"/>
      <c r="D106" s="811"/>
      <c r="E106" s="811"/>
      <c r="F106" s="811"/>
      <c r="G106" s="811"/>
      <c r="H106" s="811">
        <v>1.5</v>
      </c>
      <c r="I106" s="812">
        <f>7914.8*1.059*2*1.342/165.2</f>
        <v>136.178445937046</v>
      </c>
      <c r="J106" s="812"/>
      <c r="K106" s="803"/>
      <c r="L106" s="804"/>
    </row>
    <row r="107" spans="2:12" ht="12.75">
      <c r="B107" s="806"/>
      <c r="C107" s="810" t="s">
        <v>665</v>
      </c>
      <c r="D107" s="811" t="s">
        <v>664</v>
      </c>
      <c r="E107" s="811"/>
      <c r="F107" s="811">
        <v>3</v>
      </c>
      <c r="G107" s="811"/>
      <c r="H107" s="811">
        <v>154</v>
      </c>
      <c r="I107" s="812">
        <f>F107*H107</f>
        <v>462</v>
      </c>
      <c r="J107" s="812">
        <f>I107/1440.19/12</f>
        <v>0.026732583895180493</v>
      </c>
      <c r="K107" s="803"/>
      <c r="L107" s="804"/>
    </row>
    <row r="108" spans="2:12" ht="12.75">
      <c r="B108" s="806"/>
      <c r="C108" s="810" t="s">
        <v>666</v>
      </c>
      <c r="D108" s="811" t="s">
        <v>662</v>
      </c>
      <c r="E108" s="811"/>
      <c r="F108" s="811">
        <v>0.05</v>
      </c>
      <c r="G108" s="811"/>
      <c r="H108" s="811">
        <v>150</v>
      </c>
      <c r="I108" s="812">
        <f>F108*H108</f>
        <v>7.5</v>
      </c>
      <c r="J108" s="812">
        <f>I108/1440.19/12</f>
        <v>0.0004339705177789041</v>
      </c>
      <c r="K108" s="803"/>
      <c r="L108" s="804"/>
    </row>
    <row r="109" spans="2:11" ht="12.75">
      <c r="B109" s="806" t="s">
        <v>598</v>
      </c>
      <c r="C109" s="808" t="s">
        <v>596</v>
      </c>
      <c r="D109" s="806" t="s">
        <v>597</v>
      </c>
      <c r="E109" s="806"/>
      <c r="F109" s="806"/>
      <c r="G109" s="806"/>
      <c r="H109" s="806">
        <v>1.01</v>
      </c>
      <c r="I109" s="806"/>
      <c r="J109" s="806"/>
      <c r="K109">
        <v>3</v>
      </c>
    </row>
    <row r="110" spans="2:10" ht="12.75">
      <c r="B110" s="806" t="s">
        <v>601</v>
      </c>
      <c r="C110" s="808" t="s">
        <v>599</v>
      </c>
      <c r="D110" s="806" t="s">
        <v>600</v>
      </c>
      <c r="E110" s="806"/>
      <c r="F110" s="806"/>
      <c r="G110" s="806"/>
      <c r="H110" s="806">
        <v>1</v>
      </c>
      <c r="I110" s="806"/>
      <c r="J110" s="806"/>
    </row>
    <row r="111" spans="2:11" ht="12.75">
      <c r="B111" s="806" t="s">
        <v>604</v>
      </c>
      <c r="C111" s="808" t="s">
        <v>602</v>
      </c>
      <c r="D111" s="806" t="s">
        <v>603</v>
      </c>
      <c r="E111" s="806"/>
      <c r="F111" s="806"/>
      <c r="G111" s="806"/>
      <c r="H111" s="806">
        <v>0.52</v>
      </c>
      <c r="I111" s="806"/>
      <c r="J111" s="806"/>
      <c r="K111">
        <v>3</v>
      </c>
    </row>
    <row r="112" spans="2:12" ht="12.75">
      <c r="B112" s="806" t="s">
        <v>607</v>
      </c>
      <c r="C112" s="808" t="s">
        <v>605</v>
      </c>
      <c r="D112" s="806" t="s">
        <v>606</v>
      </c>
      <c r="E112" s="806"/>
      <c r="F112" s="806"/>
      <c r="G112" s="806"/>
      <c r="H112" s="806">
        <v>0.78</v>
      </c>
      <c r="I112" s="806"/>
      <c r="J112" s="806"/>
      <c r="K112">
        <v>4</v>
      </c>
      <c r="L112" t="s">
        <v>638</v>
      </c>
    </row>
    <row r="113" spans="2:12" ht="25.5">
      <c r="B113" s="806" t="s">
        <v>607</v>
      </c>
      <c r="C113" s="808" t="s">
        <v>609</v>
      </c>
      <c r="D113" s="806" t="s">
        <v>608</v>
      </c>
      <c r="E113" s="806"/>
      <c r="F113" s="806"/>
      <c r="G113" s="806"/>
      <c r="H113" s="806">
        <v>0.47</v>
      </c>
      <c r="I113" s="806"/>
      <c r="J113" s="806"/>
      <c r="K113">
        <v>4</v>
      </c>
      <c r="L113" t="s">
        <v>637</v>
      </c>
    </row>
    <row r="114" spans="2:12" ht="12.75">
      <c r="B114" s="806"/>
      <c r="C114" s="808" t="s">
        <v>610</v>
      </c>
      <c r="D114" s="806"/>
      <c r="E114" s="806"/>
      <c r="F114" s="806"/>
      <c r="G114" s="806"/>
      <c r="H114" s="806">
        <v>1.4</v>
      </c>
      <c r="I114" s="806"/>
      <c r="J114" s="806"/>
      <c r="L114" t="s">
        <v>637</v>
      </c>
    </row>
    <row r="115" spans="2:12" ht="25.5">
      <c r="B115" s="806"/>
      <c r="C115" s="808" t="s">
        <v>611</v>
      </c>
      <c r="D115" s="806"/>
      <c r="E115" s="806"/>
      <c r="F115" s="806"/>
      <c r="G115" s="806"/>
      <c r="H115" s="806">
        <v>0.15</v>
      </c>
      <c r="I115" s="806"/>
      <c r="J115" s="806"/>
      <c r="L115" t="s">
        <v>636</v>
      </c>
    </row>
    <row r="116" spans="2:12" ht="38.25">
      <c r="B116" s="806" t="s">
        <v>639</v>
      </c>
      <c r="C116" s="808" t="s">
        <v>640</v>
      </c>
      <c r="D116" s="806" t="s">
        <v>593</v>
      </c>
      <c r="E116" s="806"/>
      <c r="F116" s="806">
        <v>1.5</v>
      </c>
      <c r="G116" s="806"/>
      <c r="H116" s="806">
        <v>1.378</v>
      </c>
      <c r="I116" s="813">
        <f>8381.7/165.2*1.5*1.378*1.342</f>
        <v>140.7391947566586</v>
      </c>
      <c r="J116" s="813">
        <f>I116/1440.19/12</f>
        <v>0.008143554829377756</v>
      </c>
      <c r="K116">
        <v>2.3</v>
      </c>
      <c r="L116" s="791" t="s">
        <v>634</v>
      </c>
    </row>
    <row r="117" spans="2:12" ht="12.75">
      <c r="B117" s="806"/>
      <c r="C117" s="808" t="s">
        <v>661</v>
      </c>
      <c r="D117" s="806" t="s">
        <v>593</v>
      </c>
      <c r="E117" s="806"/>
      <c r="F117" s="806">
        <v>1.5</v>
      </c>
      <c r="G117" s="806"/>
      <c r="H117" s="806">
        <v>350</v>
      </c>
      <c r="I117" s="813">
        <f>F117*H117</f>
        <v>525</v>
      </c>
      <c r="J117" s="813">
        <f>I117/1440.19/12</f>
        <v>0.030377936244523288</v>
      </c>
      <c r="L117" s="791"/>
    </row>
    <row r="118" spans="2:12" ht="38.25">
      <c r="B118" s="806" t="s">
        <v>612</v>
      </c>
      <c r="C118" s="808" t="s">
        <v>613</v>
      </c>
      <c r="D118" s="806" t="s">
        <v>614</v>
      </c>
      <c r="E118" s="806"/>
      <c r="F118" s="806"/>
      <c r="G118" s="806"/>
      <c r="H118" s="806">
        <v>0.95</v>
      </c>
      <c r="I118" s="806"/>
      <c r="J118" s="806"/>
      <c r="K118">
        <v>2.4</v>
      </c>
      <c r="L118" s="791" t="s">
        <v>635</v>
      </c>
    </row>
    <row r="119" spans="2:11" ht="25.5">
      <c r="B119" s="806" t="s">
        <v>615</v>
      </c>
      <c r="C119" s="810" t="s">
        <v>616</v>
      </c>
      <c r="D119" s="811" t="s">
        <v>593</v>
      </c>
      <c r="E119" s="811"/>
      <c r="F119" s="811">
        <v>0.75</v>
      </c>
      <c r="G119" s="811"/>
      <c r="H119" s="811">
        <v>1.08</v>
      </c>
      <c r="I119" s="812">
        <f>7914.8*1.059*2/165.2*0.75*1.08*1.342</f>
        <v>110.30454120900727</v>
      </c>
      <c r="J119" s="814">
        <f>I119/1440.19/12</f>
        <v>0.006382522514911647</v>
      </c>
      <c r="K119" s="803">
        <v>4</v>
      </c>
    </row>
    <row r="120" spans="2:12" ht="38.25">
      <c r="B120" s="806"/>
      <c r="C120" s="808" t="s">
        <v>617</v>
      </c>
      <c r="D120" s="809" t="s">
        <v>645</v>
      </c>
      <c r="E120" s="806"/>
      <c r="F120" s="806">
        <v>0.0375</v>
      </c>
      <c r="G120" s="806"/>
      <c r="H120" s="806"/>
      <c r="I120" s="806"/>
      <c r="J120" s="806"/>
      <c r="L120" s="791" t="s">
        <v>630</v>
      </c>
    </row>
    <row r="121" spans="2:12" ht="12.75">
      <c r="B121" s="806" t="s">
        <v>671</v>
      </c>
      <c r="C121" s="810"/>
      <c r="D121" s="810"/>
      <c r="E121" s="811"/>
      <c r="F121" s="811"/>
      <c r="G121" s="811"/>
      <c r="H121" s="811">
        <v>1.5</v>
      </c>
      <c r="I121" s="812">
        <f>7914.8*1.059*2*1.342/165.2</f>
        <v>136.178445937046</v>
      </c>
      <c r="J121" s="814">
        <f aca="true" t="shared" si="6" ref="J121:J126">I121/1440.19/12</f>
        <v>0.007879657425816849</v>
      </c>
      <c r="L121" s="791"/>
    </row>
    <row r="122" spans="2:12" ht="12.75">
      <c r="B122" s="806"/>
      <c r="C122" s="810" t="s">
        <v>661</v>
      </c>
      <c r="D122" s="810" t="s">
        <v>663</v>
      </c>
      <c r="E122" s="811"/>
      <c r="F122" s="811">
        <v>0.025</v>
      </c>
      <c r="G122" s="811"/>
      <c r="H122" s="811">
        <v>7500</v>
      </c>
      <c r="I122" s="811">
        <f>0.025*7500</f>
        <v>187.5</v>
      </c>
      <c r="J122" s="814">
        <f t="shared" si="6"/>
        <v>0.010849262944472604</v>
      </c>
      <c r="K122" s="803"/>
      <c r="L122" s="791"/>
    </row>
    <row r="123" spans="2:13" ht="38.25">
      <c r="B123" s="806" t="s">
        <v>618</v>
      </c>
      <c r="C123" s="810" t="s">
        <v>669</v>
      </c>
      <c r="D123" s="810" t="s">
        <v>619</v>
      </c>
      <c r="E123" s="811"/>
      <c r="F123" s="811">
        <v>6.4</v>
      </c>
      <c r="G123" s="811"/>
      <c r="H123" s="811">
        <v>0.53</v>
      </c>
      <c r="I123" s="812">
        <f>8381.7/165.2*6.4*0.53*1.342</f>
        <v>230.9566272929783</v>
      </c>
      <c r="J123" s="814">
        <f t="shared" si="6"/>
        <v>0.013363782284107091</v>
      </c>
      <c r="K123" s="803"/>
      <c r="L123" s="791" t="s">
        <v>629</v>
      </c>
      <c r="M123" s="791" t="s">
        <v>633</v>
      </c>
    </row>
    <row r="124" spans="2:13" ht="12.75">
      <c r="B124" s="806" t="s">
        <v>671</v>
      </c>
      <c r="C124" s="810"/>
      <c r="D124" s="810"/>
      <c r="E124" s="811"/>
      <c r="F124" s="811"/>
      <c r="G124" s="811"/>
      <c r="H124" s="811">
        <v>1.5</v>
      </c>
      <c r="I124" s="812">
        <f>7914.8*1.059*2*1.342/165.2</f>
        <v>136.178445937046</v>
      </c>
      <c r="J124" s="814">
        <f t="shared" si="6"/>
        <v>0.007879657425816849</v>
      </c>
      <c r="K124" s="803"/>
      <c r="L124" s="791"/>
      <c r="M124" s="791"/>
    </row>
    <row r="125" spans="2:13" ht="12.75">
      <c r="B125" s="806"/>
      <c r="C125" s="810" t="s">
        <v>661</v>
      </c>
      <c r="D125" s="810" t="s">
        <v>662</v>
      </c>
      <c r="E125" s="811"/>
      <c r="F125" s="811">
        <v>3.66</v>
      </c>
      <c r="G125" s="811"/>
      <c r="H125" s="811">
        <v>75</v>
      </c>
      <c r="I125" s="812">
        <f>F125*H125</f>
        <v>274.5</v>
      </c>
      <c r="J125" s="814">
        <f t="shared" si="6"/>
        <v>0.01588332095070789</v>
      </c>
      <c r="K125" s="803"/>
      <c r="L125" s="791"/>
      <c r="M125" s="791"/>
    </row>
    <row r="126" spans="2:13" ht="38.25">
      <c r="B126" s="806" t="s">
        <v>672</v>
      </c>
      <c r="C126" s="810" t="s">
        <v>673</v>
      </c>
      <c r="D126" s="810"/>
      <c r="E126" s="811"/>
      <c r="F126" s="811"/>
      <c r="G126" s="811"/>
      <c r="H126" s="811">
        <v>4</v>
      </c>
      <c r="I126" s="812">
        <f>7914.8*1.059*2*1.342/165.2*4/3*2</f>
        <v>363.14252249878933</v>
      </c>
      <c r="J126" s="814">
        <f t="shared" si="6"/>
        <v>0.021012419802178262</v>
      </c>
      <c r="K126" s="803"/>
      <c r="L126" s="791"/>
      <c r="M126" s="791"/>
    </row>
    <row r="127" spans="2:10" ht="12.75">
      <c r="B127" s="806"/>
      <c r="C127" s="815" t="s">
        <v>620</v>
      </c>
      <c r="D127" s="806" t="s">
        <v>621</v>
      </c>
      <c r="E127" s="806"/>
      <c r="F127" s="806"/>
      <c r="G127" s="806"/>
      <c r="H127" s="806"/>
      <c r="I127" s="806"/>
      <c r="J127" s="816"/>
    </row>
    <row r="128" spans="2:12" ht="38.25">
      <c r="B128" s="809" t="s">
        <v>623</v>
      </c>
      <c r="C128" s="808" t="s">
        <v>622</v>
      </c>
      <c r="D128" s="806" t="s">
        <v>593</v>
      </c>
      <c r="E128" s="806"/>
      <c r="F128" s="806"/>
      <c r="G128" s="806"/>
      <c r="H128" s="806">
        <v>2.38</v>
      </c>
      <c r="I128" s="806"/>
      <c r="J128" s="806"/>
      <c r="L128" s="791" t="s">
        <v>627</v>
      </c>
    </row>
    <row r="129" spans="2:13" ht="76.5">
      <c r="B129" s="806" t="s">
        <v>625</v>
      </c>
      <c r="C129" s="808" t="s">
        <v>624</v>
      </c>
      <c r="D129" s="806" t="s">
        <v>593</v>
      </c>
      <c r="E129" s="806"/>
      <c r="F129" s="806"/>
      <c r="G129" s="806"/>
      <c r="H129" s="806">
        <v>0.082</v>
      </c>
      <c r="I129" s="806"/>
      <c r="J129" s="806"/>
      <c r="L129" s="791" t="s">
        <v>626</v>
      </c>
      <c r="M129" s="791" t="s">
        <v>628</v>
      </c>
    </row>
    <row r="130" spans="2:10" ht="12.75">
      <c r="B130" s="806"/>
      <c r="C130" s="806"/>
      <c r="D130" s="806"/>
      <c r="E130" s="806"/>
      <c r="F130" s="806"/>
      <c r="G130" s="806"/>
      <c r="H130" s="806"/>
      <c r="I130" s="806"/>
      <c r="J130" s="806"/>
    </row>
    <row r="131" spans="2:10" ht="25.5">
      <c r="B131" s="806"/>
      <c r="C131" s="810" t="s">
        <v>668</v>
      </c>
      <c r="D131" s="806"/>
      <c r="E131" s="806"/>
      <c r="F131" s="806"/>
      <c r="G131" s="806"/>
      <c r="H131" s="806"/>
      <c r="I131" s="806"/>
      <c r="J131" s="806"/>
    </row>
    <row r="132" spans="2:10" ht="12.75">
      <c r="B132" s="806"/>
      <c r="C132" s="810" t="s">
        <v>667</v>
      </c>
      <c r="D132" s="806"/>
      <c r="E132" s="806"/>
      <c r="F132" s="806"/>
      <c r="G132" s="806"/>
      <c r="H132" s="806"/>
      <c r="I132" s="806"/>
      <c r="J132" s="806"/>
    </row>
    <row r="133" spans="2:10" ht="56.25">
      <c r="B133" s="806"/>
      <c r="C133" s="835" t="s">
        <v>674</v>
      </c>
      <c r="D133" s="806"/>
      <c r="E133" s="806"/>
      <c r="F133" s="806"/>
      <c r="G133" s="806"/>
      <c r="H133" s="806"/>
      <c r="I133" s="806"/>
      <c r="J133" s="806"/>
    </row>
    <row r="134" spans="2:12" ht="12.75">
      <c r="B134" s="811" t="s">
        <v>684</v>
      </c>
      <c r="C134" s="844" t="s">
        <v>675</v>
      </c>
      <c r="D134" s="811" t="s">
        <v>676</v>
      </c>
      <c r="E134" s="811"/>
      <c r="F134" s="811">
        <v>657.4</v>
      </c>
      <c r="G134" s="811"/>
      <c r="H134" s="811">
        <v>2.6</v>
      </c>
      <c r="I134" s="811"/>
      <c r="J134" s="812">
        <f>7914.8*1.059/165.2/1.342*2.6*657.4/1000*2</f>
        <v>129.24280936955793</v>
      </c>
      <c r="L134" t="s">
        <v>682</v>
      </c>
    </row>
    <row r="135" spans="2:12" ht="12.75">
      <c r="B135" s="811"/>
      <c r="C135" s="844" t="s">
        <v>677</v>
      </c>
      <c r="D135" s="844" t="s">
        <v>678</v>
      </c>
      <c r="E135" s="811"/>
      <c r="F135" s="811">
        <v>4384</v>
      </c>
      <c r="G135" s="811"/>
      <c r="H135" s="811">
        <v>0.24</v>
      </c>
      <c r="I135" s="811"/>
      <c r="J135" s="812">
        <f>7914.8*1.059*1.342/165.2*0.24*4384/100*2</f>
        <v>1432.8151367712233</v>
      </c>
      <c r="L135" t="s">
        <v>683</v>
      </c>
    </row>
    <row r="136" spans="2:12" ht="22.5">
      <c r="B136" s="811"/>
      <c r="C136" s="835" t="s">
        <v>679</v>
      </c>
      <c r="D136" s="811" t="s">
        <v>680</v>
      </c>
      <c r="E136" s="811"/>
      <c r="F136" s="811">
        <v>1.0852</v>
      </c>
      <c r="G136" s="811"/>
      <c r="H136" s="845">
        <v>3</v>
      </c>
      <c r="I136" s="811"/>
      <c r="J136" s="812">
        <f>7914.8*1.059*1.342/165.2*3*1.0852*2</f>
        <v>443.34254859264695</v>
      </c>
      <c r="L136" t="s">
        <v>681</v>
      </c>
    </row>
    <row r="137" spans="2:12" ht="22.5">
      <c r="B137" s="811"/>
      <c r="C137" s="835" t="s">
        <v>687</v>
      </c>
      <c r="D137" s="811" t="s">
        <v>680</v>
      </c>
      <c r="E137" s="811"/>
      <c r="F137" s="811">
        <v>1.0852</v>
      </c>
      <c r="G137" s="811"/>
      <c r="H137" s="845">
        <v>4</v>
      </c>
      <c r="I137" s="811"/>
      <c r="J137" s="812">
        <f>7914.8*1.059*1.342/165.2*4*1.0852*2</f>
        <v>591.1233981235292</v>
      </c>
      <c r="L137" s="817" t="s">
        <v>686</v>
      </c>
    </row>
    <row r="138" spans="2:12" ht="22.5">
      <c r="B138" s="811"/>
      <c r="C138" s="835" t="s">
        <v>688</v>
      </c>
      <c r="D138" s="811" t="s">
        <v>680</v>
      </c>
      <c r="E138" s="811"/>
      <c r="F138" s="811">
        <v>1.0852</v>
      </c>
      <c r="G138" s="811"/>
      <c r="H138" s="845">
        <v>3</v>
      </c>
      <c r="I138" s="811"/>
      <c r="J138" s="812">
        <f>7914.8*1.059*1.342/165.2*3*1.0852*2</f>
        <v>443.34254859264695</v>
      </c>
      <c r="L138" s="817" t="s">
        <v>686</v>
      </c>
    </row>
    <row r="139" spans="2:12" ht="22.5">
      <c r="B139" s="811"/>
      <c r="C139" s="835" t="s">
        <v>685</v>
      </c>
      <c r="D139" s="811" t="s">
        <v>680</v>
      </c>
      <c r="E139" s="811"/>
      <c r="F139" s="811">
        <v>1.0852</v>
      </c>
      <c r="G139" s="811"/>
      <c r="H139" s="845">
        <v>3.5</v>
      </c>
      <c r="I139" s="811"/>
      <c r="J139" s="812">
        <f>7914.8*1.059*1.342/165.2*3.5*1.0852*2</f>
        <v>517.2329733580881</v>
      </c>
      <c r="L139" t="s">
        <v>689</v>
      </c>
    </row>
    <row r="140" spans="2:10" ht="22.5">
      <c r="B140" s="811"/>
      <c r="C140" s="835" t="s">
        <v>690</v>
      </c>
      <c r="D140" s="811"/>
      <c r="E140" s="811"/>
      <c r="F140" s="811"/>
      <c r="G140" s="811"/>
      <c r="H140" s="811"/>
      <c r="I140" s="811"/>
      <c r="J140" s="846">
        <f>SUM(J134:J139)</f>
        <v>3557.0994148076925</v>
      </c>
    </row>
    <row r="141" spans="3:10" ht="12.75">
      <c r="C141" s="806"/>
      <c r="D141" s="806"/>
      <c r="E141" s="806"/>
      <c r="F141" s="806"/>
      <c r="G141" s="806"/>
      <c r="H141" s="806"/>
      <c r="I141" s="806"/>
      <c r="J141" s="806"/>
    </row>
    <row r="142" spans="3:10" ht="12.75">
      <c r="C142" s="806"/>
      <c r="D142" s="806"/>
      <c r="E142" s="806"/>
      <c r="F142" s="806"/>
      <c r="G142" s="806"/>
      <c r="H142" s="806"/>
      <c r="I142" s="806"/>
      <c r="J142" s="806"/>
    </row>
    <row r="143" spans="3:10" ht="12.75">
      <c r="C143" s="811" t="s">
        <v>713</v>
      </c>
      <c r="D143" s="806"/>
      <c r="E143" s="806"/>
      <c r="F143" s="806"/>
      <c r="G143" s="806"/>
      <c r="H143" s="806"/>
      <c r="I143" s="806"/>
      <c r="J143" s="806"/>
    </row>
    <row r="144" spans="3:10" ht="12.75">
      <c r="C144" s="806" t="s">
        <v>714</v>
      </c>
      <c r="D144" s="806"/>
      <c r="E144" s="806"/>
      <c r="F144" s="806"/>
      <c r="G144" s="806"/>
      <c r="H144" s="806"/>
      <c r="I144" s="806">
        <v>3557.1</v>
      </c>
      <c r="J144" s="806"/>
    </row>
    <row r="145" spans="3:10" ht="12.75">
      <c r="C145" s="806" t="s">
        <v>715</v>
      </c>
      <c r="D145" s="806"/>
      <c r="E145" s="806"/>
      <c r="F145" s="806"/>
      <c r="G145" s="806"/>
      <c r="H145" s="806"/>
      <c r="I145" s="813">
        <f>I105+I106+I119+I121+I123+I124+I126</f>
        <v>1446.5762213576756</v>
      </c>
      <c r="J145" s="806"/>
    </row>
    <row r="146" spans="3:10" ht="12.75">
      <c r="C146" s="806" t="s">
        <v>716</v>
      </c>
      <c r="D146" s="806"/>
      <c r="E146" s="806"/>
      <c r="F146" s="806"/>
      <c r="G146" s="806"/>
      <c r="H146" s="806"/>
      <c r="I146" s="806">
        <v>2229.85</v>
      </c>
      <c r="J146" s="806"/>
    </row>
    <row r="147" spans="3:10" ht="12.75">
      <c r="C147" s="806" t="s">
        <v>717</v>
      </c>
      <c r="D147" s="806"/>
      <c r="E147" s="806"/>
      <c r="F147" s="806"/>
      <c r="G147" s="806"/>
      <c r="H147" s="806"/>
      <c r="I147" s="806">
        <v>1494.32</v>
      </c>
      <c r="J147" s="806"/>
    </row>
    <row r="148" spans="3:10" ht="12.75">
      <c r="C148" s="806" t="s">
        <v>718</v>
      </c>
      <c r="D148" s="806"/>
      <c r="E148" s="806"/>
      <c r="F148" s="806"/>
      <c r="G148" s="806"/>
      <c r="H148" s="806"/>
      <c r="I148" s="806">
        <v>4822.63</v>
      </c>
      <c r="J148" s="806"/>
    </row>
    <row r="149" spans="3:10" ht="12.75">
      <c r="C149" s="874" t="s">
        <v>719</v>
      </c>
      <c r="D149" s="874"/>
      <c r="E149" s="874"/>
      <c r="F149" s="874"/>
      <c r="G149" s="874"/>
      <c r="H149" s="874"/>
      <c r="I149" s="874">
        <f>I144+I145+I146+I147+I148</f>
        <v>13550.476221357676</v>
      </c>
      <c r="J149" s="874"/>
    </row>
    <row r="150" spans="3:10" ht="12.75">
      <c r="C150" s="806" t="s">
        <v>720</v>
      </c>
      <c r="D150" s="806"/>
      <c r="E150" s="806"/>
      <c r="F150" s="806"/>
      <c r="G150" s="806"/>
      <c r="H150" s="806"/>
      <c r="I150" s="813">
        <f>I107+I108+I122+I125</f>
        <v>931.5</v>
      </c>
      <c r="J150" s="806"/>
    </row>
    <row r="151" spans="3:10" ht="12.75">
      <c r="C151" s="806" t="s">
        <v>721</v>
      </c>
      <c r="D151" s="806"/>
      <c r="E151" s="806"/>
      <c r="F151" s="806"/>
      <c r="G151" s="806"/>
      <c r="H151" s="806"/>
      <c r="I151" s="806">
        <v>187.74</v>
      </c>
      <c r="J151" s="806"/>
    </row>
    <row r="152" spans="3:10" ht="12.75">
      <c r="C152" s="874" t="s">
        <v>719</v>
      </c>
      <c r="D152" s="874"/>
      <c r="E152" s="874"/>
      <c r="F152" s="874"/>
      <c r="G152" s="874"/>
      <c r="H152" s="874"/>
      <c r="I152" s="875">
        <f>I150+I151</f>
        <v>1119.24</v>
      </c>
      <c r="J152" s="874"/>
    </row>
    <row r="153" spans="3:10" ht="12.75">
      <c r="C153" s="806" t="s">
        <v>722</v>
      </c>
      <c r="D153" s="806"/>
      <c r="E153" s="806"/>
      <c r="F153" s="806"/>
      <c r="G153" s="806"/>
      <c r="H153" s="806"/>
      <c r="I153" s="874">
        <f>I149+I152</f>
        <v>14669.716221357676</v>
      </c>
      <c r="J153" s="806"/>
    </row>
    <row r="154" spans="3:10" ht="12.75">
      <c r="C154" s="806" t="s">
        <v>727</v>
      </c>
      <c r="D154" s="806"/>
      <c r="E154" s="806"/>
      <c r="F154" s="806"/>
      <c r="G154" s="806"/>
      <c r="H154" s="806"/>
      <c r="I154" s="806">
        <f>I153-I146</f>
        <v>12439.866221357675</v>
      </c>
      <c r="J154" s="806"/>
    </row>
    <row r="155" spans="3:10" ht="12.75">
      <c r="C155" s="806" t="s">
        <v>729</v>
      </c>
      <c r="D155" s="806"/>
      <c r="E155" s="806"/>
      <c r="F155" s="806"/>
      <c r="G155" s="806"/>
      <c r="H155" s="806"/>
      <c r="I155" s="806" t="s">
        <v>730</v>
      </c>
      <c r="J155" s="806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3" t="s">
        <v>758</v>
      </c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</row>
    <row r="2" spans="1:15" ht="16.5" thickBot="1">
      <c r="A2" s="113"/>
      <c r="B2" s="131" t="s">
        <v>469</v>
      </c>
      <c r="H2" s="244"/>
      <c r="O2" s="426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304</v>
      </c>
      <c r="F3" s="15" t="s">
        <v>150</v>
      </c>
      <c r="G3" s="220" t="s">
        <v>488</v>
      </c>
      <c r="H3" s="307" t="s">
        <v>281</v>
      </c>
      <c r="I3" s="941" t="s">
        <v>154</v>
      </c>
      <c r="J3" s="942"/>
      <c r="K3" s="942"/>
      <c r="L3" s="942"/>
      <c r="M3" s="220"/>
      <c r="N3" s="427" t="s">
        <v>190</v>
      </c>
      <c r="O3" s="939" t="s">
        <v>178</v>
      </c>
    </row>
    <row r="4" spans="1:15" s="2" customFormat="1" ht="28.5" customHeight="1" thickBot="1">
      <c r="A4" s="249"/>
      <c r="B4" s="301"/>
      <c r="C4" s="12"/>
      <c r="D4" s="12"/>
      <c r="E4" s="306" t="s">
        <v>273</v>
      </c>
      <c r="F4" s="306" t="s">
        <v>278</v>
      </c>
      <c r="G4" s="433" t="s">
        <v>273</v>
      </c>
      <c r="H4" s="434" t="s">
        <v>280</v>
      </c>
      <c r="I4" s="302"/>
      <c r="J4" s="303"/>
      <c r="K4" s="303"/>
      <c r="L4" s="303"/>
      <c r="M4" s="218"/>
      <c r="N4" s="311" t="s">
        <v>302</v>
      </c>
      <c r="O4" s="940"/>
    </row>
    <row r="5" spans="1:15" s="243" customFormat="1" ht="14.25" customHeight="1" thickBot="1">
      <c r="A5" s="300" t="s">
        <v>87</v>
      </c>
      <c r="B5" s="305" t="s">
        <v>191</v>
      </c>
      <c r="C5" s="305" t="s">
        <v>88</v>
      </c>
      <c r="D5" s="300" t="s">
        <v>72</v>
      </c>
      <c r="E5" s="305" t="s">
        <v>73</v>
      </c>
      <c r="F5" s="305" t="s">
        <v>74</v>
      </c>
      <c r="G5" s="435" t="s">
        <v>75</v>
      </c>
      <c r="H5" s="437" t="s">
        <v>76</v>
      </c>
      <c r="I5" s="436" t="s">
        <v>77</v>
      </c>
      <c r="J5" s="300" t="s">
        <v>78</v>
      </c>
      <c r="K5" s="305" t="s">
        <v>79</v>
      </c>
      <c r="L5" s="305" t="s">
        <v>80</v>
      </c>
      <c r="M5" s="300" t="s">
        <v>81</v>
      </c>
      <c r="N5" s="438" t="s">
        <v>77</v>
      </c>
      <c r="O5" s="437" t="s">
        <v>78</v>
      </c>
    </row>
    <row r="6" spans="1:15" s="21" customFormat="1" ht="18.75" customHeight="1">
      <c r="A6" s="124" t="s">
        <v>191</v>
      </c>
      <c r="B6" s="565" t="s">
        <v>85</v>
      </c>
      <c r="C6" s="566"/>
      <c r="D6" s="566"/>
      <c r="E6" s="567"/>
      <c r="F6" s="566"/>
      <c r="G6" s="568"/>
      <c r="H6" s="569"/>
      <c r="I6" s="570"/>
      <c r="J6" s="571"/>
      <c r="K6" s="572"/>
      <c r="L6" s="573"/>
      <c r="M6" s="574"/>
      <c r="N6" s="575"/>
      <c r="O6" s="576"/>
    </row>
    <row r="7" spans="1:15" s="117" customFormat="1" ht="32.25" customHeight="1">
      <c r="A7" s="121" t="s">
        <v>88</v>
      </c>
      <c r="B7" s="370" t="s">
        <v>179</v>
      </c>
      <c r="C7" s="577"/>
      <c r="D7" s="577"/>
      <c r="E7" s="751" t="s">
        <v>291</v>
      </c>
      <c r="F7" s="751" t="s">
        <v>291</v>
      </c>
      <c r="G7" s="751" t="s">
        <v>291</v>
      </c>
      <c r="H7" s="772">
        <f>'сан содерж'!G19</f>
        <v>6615.000969036152</v>
      </c>
      <c r="I7" s="577" t="s">
        <v>291</v>
      </c>
      <c r="J7" s="577" t="s">
        <v>291</v>
      </c>
      <c r="K7" s="577" t="s">
        <v>291</v>
      </c>
      <c r="L7" s="577" t="s">
        <v>291</v>
      </c>
      <c r="M7" s="577" t="s">
        <v>291</v>
      </c>
      <c r="N7" s="577">
        <f>'Исход дан'!D$11</f>
        <v>1095</v>
      </c>
      <c r="O7" s="696">
        <f>ROUND(H7/N7/12,2)</f>
        <v>0.5</v>
      </c>
    </row>
    <row r="8" spans="1:15" s="117" customFormat="1" ht="33" customHeight="1">
      <c r="A8" s="121" t="s">
        <v>72</v>
      </c>
      <c r="B8" s="370" t="s">
        <v>181</v>
      </c>
      <c r="C8" s="577"/>
      <c r="D8" s="577"/>
      <c r="E8" s="751" t="s">
        <v>291</v>
      </c>
      <c r="F8" s="751" t="s">
        <v>291</v>
      </c>
      <c r="G8" s="751" t="s">
        <v>291</v>
      </c>
      <c r="H8" s="615">
        <f>'сан содерж'!G42</f>
        <v>30445.25534537559</v>
      </c>
      <c r="I8" s="577" t="s">
        <v>291</v>
      </c>
      <c r="J8" s="577" t="s">
        <v>291</v>
      </c>
      <c r="K8" s="577" t="s">
        <v>291</v>
      </c>
      <c r="L8" s="577" t="s">
        <v>291</v>
      </c>
      <c r="M8" s="577" t="s">
        <v>291</v>
      </c>
      <c r="N8" s="577">
        <f>'Исход дан'!D$11</f>
        <v>1095</v>
      </c>
      <c r="O8" s="696">
        <f>ROUND(H8/N8/12,2)</f>
        <v>2.32</v>
      </c>
    </row>
    <row r="9" spans="1:15" s="117" customFormat="1" ht="21.75" customHeight="1">
      <c r="A9" s="121" t="s">
        <v>73</v>
      </c>
      <c r="B9" s="370" t="s">
        <v>180</v>
      </c>
      <c r="C9" s="577"/>
      <c r="D9" s="577"/>
      <c r="E9" s="751" t="s">
        <v>291</v>
      </c>
      <c r="F9" s="751" t="s">
        <v>291</v>
      </c>
      <c r="G9" s="751" t="s">
        <v>291</v>
      </c>
      <c r="H9" s="615">
        <f>'сан содерж'!G54</f>
        <v>0</v>
      </c>
      <c r="I9" s="577" t="s">
        <v>291</v>
      </c>
      <c r="J9" s="577" t="s">
        <v>291</v>
      </c>
      <c r="K9" s="577" t="s">
        <v>291</v>
      </c>
      <c r="L9" s="577" t="s">
        <v>291</v>
      </c>
      <c r="M9" s="577" t="s">
        <v>291</v>
      </c>
      <c r="N9" s="577">
        <f>'Исход дан'!D$11</f>
        <v>1095</v>
      </c>
      <c r="O9" s="696">
        <f>ROUND(H9/N9/12,2)</f>
        <v>0</v>
      </c>
    </row>
    <row r="10" spans="1:15" s="117" customFormat="1" ht="40.5" customHeight="1" thickBot="1">
      <c r="A10" s="249" t="s">
        <v>74</v>
      </c>
      <c r="B10" s="424" t="s">
        <v>375</v>
      </c>
      <c r="C10" s="578"/>
      <c r="D10" s="577"/>
      <c r="E10" s="751" t="s">
        <v>291</v>
      </c>
      <c r="F10" s="751" t="s">
        <v>291</v>
      </c>
      <c r="G10" s="751" t="s">
        <v>291</v>
      </c>
      <c r="H10" s="615">
        <f>'сан содерж'!G59</f>
        <v>3285.068</v>
      </c>
      <c r="I10" s="577" t="s">
        <v>291</v>
      </c>
      <c r="J10" s="577" t="s">
        <v>291</v>
      </c>
      <c r="K10" s="577" t="s">
        <v>291</v>
      </c>
      <c r="L10" s="577" t="s">
        <v>291</v>
      </c>
      <c r="M10" s="577" t="s">
        <v>291</v>
      </c>
      <c r="N10" s="578">
        <f>'Исход дан'!D$11</f>
        <v>1095</v>
      </c>
      <c r="O10" s="698">
        <f>ROUND(H10/N10/12,2)</f>
        <v>0.25</v>
      </c>
    </row>
    <row r="11" spans="1:15" s="1" customFormat="1" ht="30" customHeight="1" thickBot="1">
      <c r="A11" s="366" t="s">
        <v>75</v>
      </c>
      <c r="B11" s="579" t="s">
        <v>149</v>
      </c>
      <c r="C11" s="580"/>
      <c r="D11" s="580"/>
      <c r="E11" s="580"/>
      <c r="F11" s="580"/>
      <c r="G11" s="581"/>
      <c r="H11" s="586">
        <f>H7+H8+H10</f>
        <v>40345.324314411744</v>
      </c>
      <c r="I11" s="582"/>
      <c r="J11" s="583"/>
      <c r="K11" s="583"/>
      <c r="L11" s="583"/>
      <c r="M11" s="584"/>
      <c r="N11" s="585">
        <f>'Исход дан'!D$11</f>
        <v>1095</v>
      </c>
      <c r="O11" s="774">
        <f>O7+O8+O10</f>
        <v>3.07</v>
      </c>
    </row>
    <row r="12" spans="1:15" s="4" customFormat="1" ht="15" customHeight="1">
      <c r="A12" s="124" t="s">
        <v>76</v>
      </c>
      <c r="B12" s="587" t="s">
        <v>175</v>
      </c>
      <c r="C12" s="588"/>
      <c r="D12" s="588"/>
      <c r="E12" s="752"/>
      <c r="F12" s="753"/>
      <c r="G12" s="754"/>
      <c r="H12" s="589"/>
      <c r="I12" s="590"/>
      <c r="J12" s="591"/>
      <c r="K12" s="591"/>
      <c r="L12" s="591"/>
      <c r="M12" s="592"/>
      <c r="N12" s="593"/>
      <c r="O12" s="594"/>
    </row>
    <row r="13" spans="1:15" s="62" customFormat="1" ht="15" customHeight="1">
      <c r="A13" s="121" t="s">
        <v>77</v>
      </c>
      <c r="B13" s="595" t="s">
        <v>171</v>
      </c>
      <c r="C13" s="596" t="s">
        <v>237</v>
      </c>
      <c r="D13" s="596"/>
      <c r="E13" s="755"/>
      <c r="F13" s="756"/>
      <c r="G13" s="757"/>
      <c r="H13" s="597">
        <v>1445.4</v>
      </c>
      <c r="I13" s="598"/>
      <c r="J13" s="599"/>
      <c r="K13" s="599"/>
      <c r="L13" s="599"/>
      <c r="M13" s="600"/>
      <c r="N13" s="577">
        <f>'Исход дан'!D$11</f>
        <v>1095</v>
      </c>
      <c r="O13" s="772">
        <f>ROUND(H13/N13/12,3)</f>
        <v>0.11</v>
      </c>
    </row>
    <row r="14" spans="1:15" s="62" customFormat="1" ht="15" customHeight="1">
      <c r="A14" s="121" t="s">
        <v>78</v>
      </c>
      <c r="B14" s="595" t="s">
        <v>172</v>
      </c>
      <c r="C14" s="596" t="s">
        <v>237</v>
      </c>
      <c r="D14" s="596"/>
      <c r="E14" s="755"/>
      <c r="F14" s="756"/>
      <c r="G14" s="757"/>
      <c r="H14" s="597"/>
      <c r="I14" s="598"/>
      <c r="J14" s="599"/>
      <c r="K14" s="599"/>
      <c r="L14" s="599"/>
      <c r="M14" s="600"/>
      <c r="N14" s="577">
        <f>'Исход дан'!D$11</f>
        <v>1095</v>
      </c>
      <c r="O14" s="696">
        <f>ROUND(H14/N14/12,3)</f>
        <v>0</v>
      </c>
    </row>
    <row r="15" spans="1:15" s="62" customFormat="1" ht="15" customHeight="1">
      <c r="A15" s="121" t="s">
        <v>79</v>
      </c>
      <c r="B15" s="595" t="s">
        <v>173</v>
      </c>
      <c r="C15" s="596" t="s">
        <v>237</v>
      </c>
      <c r="D15" s="596"/>
      <c r="E15" s="755"/>
      <c r="F15" s="756"/>
      <c r="G15" s="757"/>
      <c r="H15" s="597"/>
      <c r="I15" s="598"/>
      <c r="J15" s="599"/>
      <c r="K15" s="599"/>
      <c r="L15" s="599"/>
      <c r="M15" s="600"/>
      <c r="N15" s="577">
        <f>'Исход дан'!D$11</f>
        <v>1095</v>
      </c>
      <c r="O15" s="696">
        <f>ROUND(H15/N15/12,2)</f>
        <v>0</v>
      </c>
    </row>
    <row r="16" spans="1:15" s="62" customFormat="1" ht="15" customHeight="1" thickBot="1">
      <c r="A16" s="121" t="s">
        <v>80</v>
      </c>
      <c r="B16" s="595" t="s">
        <v>174</v>
      </c>
      <c r="C16" s="596" t="s">
        <v>237</v>
      </c>
      <c r="D16" s="596"/>
      <c r="E16" s="755"/>
      <c r="F16" s="756"/>
      <c r="G16" s="757"/>
      <c r="H16" s="597"/>
      <c r="I16" s="598"/>
      <c r="J16" s="599"/>
      <c r="K16" s="599"/>
      <c r="L16" s="599"/>
      <c r="M16" s="600"/>
      <c r="N16" s="578">
        <f>'Исход дан'!D$11</f>
        <v>1095</v>
      </c>
      <c r="O16" s="698">
        <f>ROUND(H16/N16/12,2)</f>
        <v>0</v>
      </c>
    </row>
    <row r="17" spans="1:15" s="21" customFormat="1" ht="30" customHeight="1" thickBot="1">
      <c r="A17" s="347" t="s">
        <v>81</v>
      </c>
      <c r="B17" s="579" t="s">
        <v>279</v>
      </c>
      <c r="C17" s="580"/>
      <c r="D17" s="580"/>
      <c r="E17" s="601"/>
      <c r="F17" s="580"/>
      <c r="G17" s="581"/>
      <c r="H17" s="586">
        <f>SUM(H13:H16)</f>
        <v>1445.4</v>
      </c>
      <c r="I17" s="602"/>
      <c r="J17" s="603"/>
      <c r="K17" s="603"/>
      <c r="L17" s="603"/>
      <c r="M17" s="604"/>
      <c r="N17" s="585">
        <f>'Исход дан'!D$11</f>
        <v>1095</v>
      </c>
      <c r="O17" s="789">
        <f>ROUND(H17/N17/12,2)</f>
        <v>0.11</v>
      </c>
    </row>
    <row r="18" spans="1:15" s="115" customFormat="1" ht="15" customHeight="1">
      <c r="A18" s="124" t="s">
        <v>155</v>
      </c>
      <c r="B18" s="605" t="s">
        <v>83</v>
      </c>
      <c r="C18" s="606" t="s">
        <v>84</v>
      </c>
      <c r="D18" s="606" t="s">
        <v>271</v>
      </c>
      <c r="E18" s="607"/>
      <c r="F18" s="606"/>
      <c r="G18" s="608"/>
      <c r="H18" s="805">
        <v>920</v>
      </c>
      <c r="I18" s="609"/>
      <c r="J18" s="610"/>
      <c r="K18" s="611"/>
      <c r="L18" s="610"/>
      <c r="M18" s="612"/>
      <c r="N18" s="593">
        <f>'Исход дан'!D$11</f>
        <v>1095</v>
      </c>
      <c r="O18" s="788">
        <f>H18/N18/12</f>
        <v>0.0700152207001522</v>
      </c>
    </row>
    <row r="19" spans="1:15" s="95" customFormat="1" ht="33.75" customHeight="1">
      <c r="A19" s="121" t="s">
        <v>82</v>
      </c>
      <c r="B19" s="370" t="s">
        <v>65</v>
      </c>
      <c r="C19" s="614" t="s">
        <v>390</v>
      </c>
      <c r="D19" s="577" t="s">
        <v>270</v>
      </c>
      <c r="E19" s="758">
        <v>2.596</v>
      </c>
      <c r="F19" s="629">
        <v>2000</v>
      </c>
      <c r="G19" s="759">
        <v>1</v>
      </c>
      <c r="H19" s="818">
        <v>9460.8</v>
      </c>
      <c r="I19" s="616"/>
      <c r="J19" s="617"/>
      <c r="K19" s="617"/>
      <c r="L19" s="617"/>
      <c r="M19" s="618"/>
      <c r="N19" s="577">
        <f>'Исход дан'!D$11</f>
        <v>1095</v>
      </c>
      <c r="O19" s="787">
        <f>ROUND(H19/N19/12,2)</f>
        <v>0.72</v>
      </c>
    </row>
    <row r="20" spans="1:15" s="22" customFormat="1" ht="26.25" customHeight="1">
      <c r="A20" s="121" t="s">
        <v>156</v>
      </c>
      <c r="B20" s="370" t="s">
        <v>466</v>
      </c>
      <c r="C20" s="577" t="s">
        <v>482</v>
      </c>
      <c r="D20" s="577" t="s">
        <v>391</v>
      </c>
      <c r="E20" s="759">
        <v>0.275</v>
      </c>
      <c r="F20" s="751">
        <f>'Исход дан'!D11</f>
        <v>1095</v>
      </c>
      <c r="G20" s="760">
        <v>1</v>
      </c>
      <c r="H20" s="818">
        <f>E20*F20*G20*12</f>
        <v>3613.5</v>
      </c>
      <c r="I20" s="616"/>
      <c r="J20" s="619"/>
      <c r="K20" s="617"/>
      <c r="L20" s="619"/>
      <c r="M20" s="618"/>
      <c r="N20" s="577">
        <f>'Исход дан'!D$11</f>
        <v>1095</v>
      </c>
      <c r="O20" s="696">
        <f>ROUND(H20/N20/12,3)</f>
        <v>0.275</v>
      </c>
    </row>
    <row r="21" spans="1:15" s="22" customFormat="1" ht="24.75" customHeight="1">
      <c r="A21" s="121" t="s">
        <v>157</v>
      </c>
      <c r="B21" s="370" t="s">
        <v>467</v>
      </c>
      <c r="C21" s="577" t="s">
        <v>482</v>
      </c>
      <c r="D21" s="577" t="s">
        <v>391</v>
      </c>
      <c r="E21" s="761">
        <v>0.12</v>
      </c>
      <c r="F21" s="751">
        <f>'Исход дан'!D11</f>
        <v>1095</v>
      </c>
      <c r="G21" s="759">
        <v>1</v>
      </c>
      <c r="H21" s="818">
        <f>E21*F21*G21*12</f>
        <v>1576.8000000000002</v>
      </c>
      <c r="I21" s="616"/>
      <c r="J21" s="619"/>
      <c r="K21" s="617"/>
      <c r="L21" s="619"/>
      <c r="M21" s="618"/>
      <c r="N21" s="577">
        <f>'Исход дан'!D$11</f>
        <v>1095</v>
      </c>
      <c r="O21" s="696">
        <f>ROUND(H21/N21/12,3)</f>
        <v>0.12</v>
      </c>
    </row>
    <row r="22" spans="1:15" s="22" customFormat="1" ht="15.75" customHeight="1" thickBot="1">
      <c r="A22" s="429" t="s">
        <v>158</v>
      </c>
      <c r="B22" s="620" t="s">
        <v>394</v>
      </c>
      <c r="C22" s="577" t="s">
        <v>482</v>
      </c>
      <c r="D22" s="577" t="s">
        <v>391</v>
      </c>
      <c r="E22" s="762">
        <v>0.16</v>
      </c>
      <c r="F22" s="763">
        <f>'Исход дан'!D11</f>
        <v>1095</v>
      </c>
      <c r="G22" s="764">
        <v>1</v>
      </c>
      <c r="H22" s="818">
        <f>E22*F22*G22*12</f>
        <v>2102.4</v>
      </c>
      <c r="I22" s="621"/>
      <c r="J22" s="622"/>
      <c r="K22" s="623"/>
      <c r="L22" s="622"/>
      <c r="M22" s="624"/>
      <c r="N22" s="578">
        <f>'Исход дан'!D$11</f>
        <v>1095</v>
      </c>
      <c r="O22" s="698">
        <f>ROUND(H22/N22/12,3)</f>
        <v>0.16</v>
      </c>
    </row>
    <row r="23" spans="1:15" s="21" customFormat="1" ht="28.5" customHeight="1" thickBot="1">
      <c r="A23" s="347" t="s">
        <v>89</v>
      </c>
      <c r="B23" s="579" t="s">
        <v>306</v>
      </c>
      <c r="C23" s="580"/>
      <c r="D23" s="580"/>
      <c r="E23" s="580"/>
      <c r="F23" s="580"/>
      <c r="G23" s="581"/>
      <c r="H23" s="586">
        <f>SUM(H18:H22)</f>
        <v>17673.5</v>
      </c>
      <c r="I23" s="582"/>
      <c r="J23" s="583"/>
      <c r="K23" s="583"/>
      <c r="L23" s="583"/>
      <c r="M23" s="584"/>
      <c r="N23" s="585">
        <f>'Исход дан'!D$11</f>
        <v>1095</v>
      </c>
      <c r="O23" s="774">
        <f>ROUND(H23/N23/12,2)</f>
        <v>1.35</v>
      </c>
    </row>
    <row r="24" spans="1:17" s="1" customFormat="1" ht="25.5" customHeight="1">
      <c r="A24" s="124" t="s">
        <v>90</v>
      </c>
      <c r="B24" s="625" t="s">
        <v>183</v>
      </c>
      <c r="C24" s="626"/>
      <c r="D24" s="593"/>
      <c r="E24" s="751" t="s">
        <v>291</v>
      </c>
      <c r="F24" s="751" t="s">
        <v>291</v>
      </c>
      <c r="G24" s="759" t="s">
        <v>291</v>
      </c>
      <c r="H24" s="689">
        <f>профраб!I24</f>
        <v>14679.975571383271</v>
      </c>
      <c r="I24" s="690"/>
      <c r="J24" s="691"/>
      <c r="K24" s="593"/>
      <c r="L24" s="691"/>
      <c r="M24" s="627"/>
      <c r="N24" s="593">
        <f>'Исход дан'!D$11</f>
        <v>1095</v>
      </c>
      <c r="O24" s="699">
        <f>ROUND(H24/N24/12,2)</f>
        <v>1.12</v>
      </c>
      <c r="P24" s="822"/>
      <c r="Q24" s="823"/>
    </row>
    <row r="25" spans="1:16" s="1" customFormat="1" ht="25.5" customHeight="1">
      <c r="A25" s="121" t="s">
        <v>91</v>
      </c>
      <c r="B25" s="370" t="s">
        <v>184</v>
      </c>
      <c r="C25" s="614"/>
      <c r="D25" s="577"/>
      <c r="E25" s="751" t="s">
        <v>291</v>
      </c>
      <c r="F25" s="751" t="s">
        <v>291</v>
      </c>
      <c r="G25" s="759" t="s">
        <v>291</v>
      </c>
      <c r="H25" s="615">
        <f>профраб!I38</f>
        <v>4261.637857328797</v>
      </c>
      <c r="I25" s="692"/>
      <c r="J25" s="693"/>
      <c r="K25" s="577"/>
      <c r="L25" s="693"/>
      <c r="M25" s="628"/>
      <c r="N25" s="577">
        <f>'Исход дан'!D$11</f>
        <v>1095</v>
      </c>
      <c r="O25" s="696">
        <f>ROUND(H25/N25/12,2)</f>
        <v>0.32</v>
      </c>
      <c r="P25" s="425"/>
    </row>
    <row r="26" spans="1:16" s="1" customFormat="1" ht="30" customHeight="1" thickBot="1">
      <c r="A26" s="249" t="s">
        <v>92</v>
      </c>
      <c r="B26" s="840" t="s">
        <v>709</v>
      </c>
      <c r="C26" s="629"/>
      <c r="D26" s="578"/>
      <c r="E26" s="629"/>
      <c r="F26" s="765"/>
      <c r="G26" s="766"/>
      <c r="H26" s="630">
        <v>16888.6</v>
      </c>
      <c r="I26" s="694"/>
      <c r="J26" s="695"/>
      <c r="K26" s="578"/>
      <c r="L26" s="695"/>
      <c r="M26" s="631"/>
      <c r="N26" s="578">
        <f>'Исход дан'!D$11</f>
        <v>1095</v>
      </c>
      <c r="O26" s="785">
        <f>ROUND(H26/N26/12,2)</f>
        <v>1.29</v>
      </c>
      <c r="P26" s="425"/>
    </row>
    <row r="27" spans="1:15" s="4" customFormat="1" ht="30" customHeight="1" thickBot="1">
      <c r="A27" s="347" t="s">
        <v>93</v>
      </c>
      <c r="B27" s="681" t="s">
        <v>403</v>
      </c>
      <c r="C27" s="580"/>
      <c r="D27" s="580"/>
      <c r="E27" s="580"/>
      <c r="F27" s="580"/>
      <c r="G27" s="581"/>
      <c r="H27" s="773">
        <f>SUM(H24:H26)</f>
        <v>35830.213428712064</v>
      </c>
      <c r="I27" s="582"/>
      <c r="J27" s="697"/>
      <c r="K27" s="583"/>
      <c r="L27" s="697"/>
      <c r="M27" s="682"/>
      <c r="N27" s="585">
        <f>'Исход дан'!D$11</f>
        <v>1095</v>
      </c>
      <c r="O27" s="774">
        <f>ROUND(H27/N27/12,2)</f>
        <v>2.73</v>
      </c>
    </row>
    <row r="28" spans="1:15" s="4" customFormat="1" ht="39" customHeight="1">
      <c r="A28" s="552" t="s">
        <v>94</v>
      </c>
      <c r="B28" s="553" t="s">
        <v>480</v>
      </c>
      <c r="C28" s="633" t="s">
        <v>481</v>
      </c>
      <c r="D28" s="634"/>
      <c r="E28" s="767"/>
      <c r="F28" s="767"/>
      <c r="G28" s="768"/>
      <c r="H28" s="689">
        <f>E28*F28*G28</f>
        <v>0</v>
      </c>
      <c r="I28" s="635"/>
      <c r="J28" s="636"/>
      <c r="K28" s="637"/>
      <c r="L28" s="636"/>
      <c r="M28" s="638"/>
      <c r="N28" s="593">
        <f>'Исход дан'!D$11</f>
        <v>1095</v>
      </c>
      <c r="O28" s="699">
        <f aca="true" t="shared" si="0" ref="O28:O33">ROUND(H28/N28/12,2)</f>
        <v>0</v>
      </c>
    </row>
    <row r="29" spans="1:15" s="371" customFormat="1" ht="44.25" customHeight="1">
      <c r="A29" s="432" t="s">
        <v>95</v>
      </c>
      <c r="B29" s="839" t="s">
        <v>708</v>
      </c>
      <c r="C29" s="430" t="s">
        <v>253</v>
      </c>
      <c r="D29" s="566"/>
      <c r="E29" s="753"/>
      <c r="F29" s="753"/>
      <c r="G29" s="769"/>
      <c r="H29" s="615"/>
      <c r="I29" s="639"/>
      <c r="J29" s="640"/>
      <c r="K29" s="641"/>
      <c r="L29" s="640"/>
      <c r="M29" s="565"/>
      <c r="N29" s="577">
        <f>'Исход дан'!D$11</f>
        <v>1095</v>
      </c>
      <c r="O29" s="696">
        <f t="shared" si="0"/>
        <v>0</v>
      </c>
    </row>
    <row r="30" spans="1:15" s="21" customFormat="1" ht="15.75" customHeight="1">
      <c r="A30" s="121" t="s">
        <v>96</v>
      </c>
      <c r="B30" s="625" t="s">
        <v>392</v>
      </c>
      <c r="C30" s="593" t="s">
        <v>463</v>
      </c>
      <c r="D30" s="577" t="s">
        <v>391</v>
      </c>
      <c r="E30" s="751">
        <v>0.29</v>
      </c>
      <c r="F30" s="751">
        <f>'Исход дан'!D11</f>
        <v>1095</v>
      </c>
      <c r="G30" s="759">
        <v>1</v>
      </c>
      <c r="H30" s="615">
        <f>E30*F30*G30*12</f>
        <v>3810.5999999999995</v>
      </c>
      <c r="I30" s="642"/>
      <c r="J30" s="643"/>
      <c r="K30" s="644"/>
      <c r="L30" s="643"/>
      <c r="M30" s="645"/>
      <c r="N30" s="577">
        <f>'Исход дан'!D$11</f>
        <v>1095</v>
      </c>
      <c r="O30" s="772">
        <f t="shared" si="0"/>
        <v>0.29</v>
      </c>
    </row>
    <row r="31" spans="1:15" s="21" customFormat="1" ht="35.25" customHeight="1">
      <c r="A31" s="124" t="s">
        <v>159</v>
      </c>
      <c r="B31" s="625" t="s">
        <v>401</v>
      </c>
      <c r="C31" s="626" t="s">
        <v>464</v>
      </c>
      <c r="D31" s="577" t="s">
        <v>391</v>
      </c>
      <c r="E31" s="770"/>
      <c r="F31" s="770">
        <f>'Исход дан'!D11</f>
        <v>1095</v>
      </c>
      <c r="G31" s="771"/>
      <c r="H31" s="615">
        <v>26017.2</v>
      </c>
      <c r="I31" s="642"/>
      <c r="J31" s="643"/>
      <c r="K31" s="644"/>
      <c r="L31" s="643"/>
      <c r="M31" s="645"/>
      <c r="N31" s="577">
        <f>'Исход дан'!D$11</f>
        <v>1095</v>
      </c>
      <c r="O31" s="696">
        <f t="shared" si="0"/>
        <v>1.98</v>
      </c>
    </row>
    <row r="32" spans="1:15" s="21" customFormat="1" ht="27" customHeight="1">
      <c r="A32" s="429" t="s">
        <v>160</v>
      </c>
      <c r="B32" s="620" t="s">
        <v>402</v>
      </c>
      <c r="C32" s="646" t="s">
        <v>465</v>
      </c>
      <c r="D32" s="578" t="s">
        <v>391</v>
      </c>
      <c r="E32" s="763"/>
      <c r="F32" s="763">
        <f>'Исход дан'!D11</f>
        <v>1095</v>
      </c>
      <c r="G32" s="764"/>
      <c r="H32" s="615">
        <v>2730</v>
      </c>
      <c r="I32" s="647"/>
      <c r="J32" s="648"/>
      <c r="K32" s="649"/>
      <c r="L32" s="648"/>
      <c r="M32" s="650"/>
      <c r="N32" s="577">
        <f>'Исход дан'!D$11</f>
        <v>1095</v>
      </c>
      <c r="O32" s="772">
        <f t="shared" si="0"/>
        <v>0.21</v>
      </c>
    </row>
    <row r="33" spans="1:15" s="21" customFormat="1" ht="15.75" customHeight="1" thickBot="1">
      <c r="A33" s="249" t="s">
        <v>307</v>
      </c>
      <c r="B33" s="424" t="s">
        <v>468</v>
      </c>
      <c r="C33" s="850" t="s">
        <v>196</v>
      </c>
      <c r="D33" s="578" t="s">
        <v>391</v>
      </c>
      <c r="E33" s="629"/>
      <c r="F33" s="629"/>
      <c r="G33" s="766"/>
      <c r="H33" s="630">
        <v>2365.2</v>
      </c>
      <c r="I33" s="647"/>
      <c r="J33" s="648"/>
      <c r="K33" s="649"/>
      <c r="L33" s="648"/>
      <c r="M33" s="650"/>
      <c r="N33" s="578">
        <f>'Исход дан'!D$11</f>
        <v>1095</v>
      </c>
      <c r="O33" s="698">
        <f t="shared" si="0"/>
        <v>0.18</v>
      </c>
    </row>
    <row r="34" spans="1:16" s="5" customFormat="1" ht="30" customHeight="1" thickBot="1">
      <c r="A34" s="366" t="s">
        <v>308</v>
      </c>
      <c r="B34" s="651" t="s">
        <v>189</v>
      </c>
      <c r="C34" s="652"/>
      <c r="D34" s="652" t="s">
        <v>56</v>
      </c>
      <c r="E34" s="652"/>
      <c r="F34" s="652"/>
      <c r="G34" s="653"/>
      <c r="H34" s="657">
        <f>H11+H17+H23+H27+H28+H29+H30+H31+H32+H33</f>
        <v>130217.43774312381</v>
      </c>
      <c r="I34" s="654"/>
      <c r="J34" s="655"/>
      <c r="K34" s="655"/>
      <c r="L34" s="655"/>
      <c r="M34" s="656"/>
      <c r="N34" s="632">
        <f>'Исход дан'!D$11</f>
        <v>1095</v>
      </c>
      <c r="O34" s="847">
        <f>ROUND(H34/N34/12,2)</f>
        <v>9.91</v>
      </c>
      <c r="P34" s="369"/>
    </row>
    <row r="35" spans="1:15" s="1" customFormat="1" ht="33.75" customHeight="1" hidden="1">
      <c r="A35" s="124" t="s">
        <v>334</v>
      </c>
      <c r="B35" s="658" t="s">
        <v>176</v>
      </c>
      <c r="C35" s="606"/>
      <c r="D35" s="605"/>
      <c r="E35" s="606"/>
      <c r="F35" s="606"/>
      <c r="G35" s="606"/>
      <c r="H35" s="613"/>
      <c r="I35" s="659"/>
      <c r="J35" s="660"/>
      <c r="K35" s="661"/>
      <c r="L35" s="662"/>
      <c r="M35" s="663"/>
      <c r="N35" s="664"/>
      <c r="O35" s="665"/>
    </row>
    <row r="36" spans="1:15" s="5" customFormat="1" ht="33" customHeight="1" hidden="1" thickBot="1">
      <c r="A36" s="121" t="s">
        <v>335</v>
      </c>
      <c r="B36" s="666" t="s">
        <v>177</v>
      </c>
      <c r="C36" s="667"/>
      <c r="D36" s="668"/>
      <c r="E36" s="669"/>
      <c r="F36" s="670"/>
      <c r="G36" s="670"/>
      <c r="H36" s="671"/>
      <c r="I36" s="672"/>
      <c r="J36" s="673"/>
      <c r="K36" s="674"/>
      <c r="L36" s="673"/>
      <c r="M36" s="675"/>
      <c r="N36" s="676"/>
      <c r="O36" s="677"/>
    </row>
    <row r="37" spans="2:15" ht="12.75">
      <c r="B37" s="678"/>
      <c r="C37" s="679"/>
      <c r="D37" s="679"/>
      <c r="E37" s="679"/>
      <c r="F37" s="679"/>
      <c r="G37" s="679"/>
      <c r="H37" s="679"/>
      <c r="I37" s="679"/>
      <c r="J37" s="680"/>
      <c r="K37" s="679"/>
      <c r="L37" s="680"/>
      <c r="M37" s="678"/>
      <c r="N37" s="679"/>
      <c r="O37" s="679"/>
    </row>
    <row r="38" spans="2:15" ht="12.75">
      <c r="B38" s="678"/>
      <c r="C38" s="679"/>
      <c r="D38" s="679"/>
      <c r="E38" s="679"/>
      <c r="F38" s="679"/>
      <c r="G38" s="679"/>
      <c r="H38" s="848"/>
      <c r="I38" s="679"/>
      <c r="J38" s="680"/>
      <c r="K38" s="679"/>
      <c r="L38" s="680"/>
      <c r="M38" s="678"/>
      <c r="N38" s="679"/>
      <c r="O38" s="848"/>
    </row>
    <row r="39" spans="2:15" ht="12.75">
      <c r="B39" s="678"/>
      <c r="C39" s="679"/>
      <c r="D39" s="679"/>
      <c r="E39" s="679"/>
      <c r="F39" s="679"/>
      <c r="G39" s="679"/>
      <c r="H39" s="679"/>
      <c r="I39" s="679"/>
      <c r="J39" s="680"/>
      <c r="K39" s="679"/>
      <c r="L39" s="680"/>
      <c r="M39" s="678"/>
      <c r="N39" s="679"/>
      <c r="O39" s="679"/>
    </row>
    <row r="40" ht="12.75">
      <c r="H40" s="871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B1">
      <selection activeCell="F63" sqref="F63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7.00390625" style="256" customWidth="1"/>
    <col min="4" max="4" width="16.625" style="256" customWidth="1"/>
    <col min="5" max="5" width="29.75390625" style="256" customWidth="1"/>
    <col min="6" max="6" width="11.25390625" style="31" bestFit="1" customWidth="1"/>
    <col min="7" max="16384" width="9.125" style="31" customWidth="1"/>
  </cols>
  <sheetData>
    <row r="1" spans="1:5" ht="14.25" customHeight="1" thickBot="1">
      <c r="A1" s="944" t="s">
        <v>759</v>
      </c>
      <c r="B1" s="944"/>
      <c r="C1" s="944"/>
      <c r="D1" s="944"/>
      <c r="E1" s="944"/>
    </row>
    <row r="2" spans="1:5" ht="22.5" customHeight="1">
      <c r="A2" s="841" t="s">
        <v>197</v>
      </c>
      <c r="B2" s="842" t="s">
        <v>198</v>
      </c>
      <c r="C2" s="842" t="s">
        <v>199</v>
      </c>
      <c r="D2" s="842" t="s">
        <v>477</v>
      </c>
      <c r="E2" s="843" t="s">
        <v>476</v>
      </c>
    </row>
    <row r="3" spans="1:5" ht="10.5" customHeight="1">
      <c r="A3" s="776"/>
      <c r="B3" s="892" t="s">
        <v>255</v>
      </c>
      <c r="C3" s="775"/>
      <c r="D3" s="775"/>
      <c r="E3" s="893">
        <v>1095.5</v>
      </c>
    </row>
    <row r="4" spans="1:5" ht="12" customHeight="1">
      <c r="A4" s="948" t="s">
        <v>337</v>
      </c>
      <c r="B4" s="949"/>
      <c r="C4" s="949"/>
      <c r="D4" s="949"/>
      <c r="E4" s="950"/>
    </row>
    <row r="5" spans="1:7" s="260" customFormat="1" ht="10.5" customHeight="1">
      <c r="A5" s="853" t="s">
        <v>200</v>
      </c>
      <c r="B5" s="854" t="s">
        <v>201</v>
      </c>
      <c r="C5" s="855"/>
      <c r="D5" s="856">
        <v>7025.13</v>
      </c>
      <c r="E5" s="859">
        <f>ROUND(D5/E$3/12,2)</f>
        <v>0.53</v>
      </c>
      <c r="G5" s="343"/>
    </row>
    <row r="6" spans="1:7" ht="22.5" customHeight="1">
      <c r="A6" s="853" t="s">
        <v>202</v>
      </c>
      <c r="B6" s="858" t="s">
        <v>747</v>
      </c>
      <c r="C6" s="855" t="s">
        <v>203</v>
      </c>
      <c r="D6" s="856"/>
      <c r="E6" s="859"/>
      <c r="F6" s="260"/>
      <c r="G6" s="260"/>
    </row>
    <row r="7" spans="1:7" ht="24" customHeight="1">
      <c r="A7" s="853" t="s">
        <v>343</v>
      </c>
      <c r="B7" s="858" t="s">
        <v>749</v>
      </c>
      <c r="C7" s="855" t="s">
        <v>209</v>
      </c>
      <c r="D7" s="856"/>
      <c r="E7" s="859"/>
      <c r="F7" s="260"/>
      <c r="G7" s="260"/>
    </row>
    <row r="8" spans="1:7" ht="11.25" customHeight="1">
      <c r="A8" s="853" t="s">
        <v>344</v>
      </c>
      <c r="B8" s="858" t="s">
        <v>257</v>
      </c>
      <c r="C8" s="855" t="s">
        <v>206</v>
      </c>
      <c r="D8" s="856"/>
      <c r="E8" s="859"/>
      <c r="F8" s="260"/>
      <c r="G8" s="260"/>
    </row>
    <row r="9" spans="1:7" ht="10.5" customHeight="1">
      <c r="A9" s="853" t="s">
        <v>345</v>
      </c>
      <c r="B9" s="854" t="s">
        <v>205</v>
      </c>
      <c r="C9" s="855" t="s">
        <v>206</v>
      </c>
      <c r="D9" s="856"/>
      <c r="E9" s="859"/>
      <c r="F9" s="260"/>
      <c r="G9" s="260"/>
    </row>
    <row r="10" spans="1:7" ht="11.25" customHeight="1">
      <c r="A10" s="853" t="s">
        <v>346</v>
      </c>
      <c r="B10" s="854" t="s">
        <v>207</v>
      </c>
      <c r="C10" s="855" t="s">
        <v>206</v>
      </c>
      <c r="D10" s="856"/>
      <c r="E10" s="859"/>
      <c r="F10" s="260"/>
      <c r="G10" s="260"/>
    </row>
    <row r="11" spans="1:7" ht="36" customHeight="1">
      <c r="A11" s="853" t="s">
        <v>347</v>
      </c>
      <c r="B11" s="858" t="s">
        <v>761</v>
      </c>
      <c r="C11" s="855" t="s">
        <v>204</v>
      </c>
      <c r="D11" s="856"/>
      <c r="E11" s="859"/>
      <c r="F11" s="260"/>
      <c r="G11" s="260"/>
    </row>
    <row r="12" spans="1:7" ht="24.75" customHeight="1">
      <c r="A12" s="853" t="s">
        <v>748</v>
      </c>
      <c r="B12" s="854" t="s">
        <v>208</v>
      </c>
      <c r="C12" s="855" t="s">
        <v>209</v>
      </c>
      <c r="D12" s="856"/>
      <c r="E12" s="859"/>
      <c r="F12" s="260"/>
      <c r="G12" s="260"/>
    </row>
    <row r="13" spans="1:7" ht="11.25" customHeight="1">
      <c r="A13" s="945" t="s">
        <v>474</v>
      </c>
      <c r="B13" s="946"/>
      <c r="C13" s="946"/>
      <c r="D13" s="946"/>
      <c r="E13" s="947"/>
      <c r="F13" s="260"/>
      <c r="G13" s="260"/>
    </row>
    <row r="14" spans="1:7" s="260" customFormat="1" ht="14.25">
      <c r="A14" s="853" t="s">
        <v>348</v>
      </c>
      <c r="B14" s="854" t="s">
        <v>210</v>
      </c>
      <c r="C14" s="855"/>
      <c r="D14" s="856">
        <v>32332.87</v>
      </c>
      <c r="E14" s="857">
        <f>ROUND(D14/E$3/12,2)</f>
        <v>2.46</v>
      </c>
      <c r="F14" s="354"/>
      <c r="G14" s="343"/>
    </row>
    <row r="15" spans="1:7" s="259" customFormat="1" ht="12" customHeight="1">
      <c r="A15" s="853" t="s">
        <v>66</v>
      </c>
      <c r="B15" s="887" t="s">
        <v>211</v>
      </c>
      <c r="C15" s="855"/>
      <c r="D15" s="856"/>
      <c r="E15" s="857"/>
      <c r="F15" s="260"/>
      <c r="G15" s="260"/>
    </row>
    <row r="16" spans="1:7" ht="24.75" customHeight="1">
      <c r="A16" s="853" t="s">
        <v>212</v>
      </c>
      <c r="B16" s="854" t="s">
        <v>213</v>
      </c>
      <c r="C16" s="855" t="s">
        <v>214</v>
      </c>
      <c r="D16" s="870"/>
      <c r="E16" s="854"/>
      <c r="F16" s="260"/>
      <c r="G16" s="260"/>
    </row>
    <row r="17" spans="1:7" ht="22.5" customHeight="1">
      <c r="A17" s="853" t="s">
        <v>215</v>
      </c>
      <c r="B17" s="854" t="s">
        <v>216</v>
      </c>
      <c r="C17" s="855" t="s">
        <v>217</v>
      </c>
      <c r="D17" s="870"/>
      <c r="E17" s="854"/>
      <c r="F17" s="260"/>
      <c r="G17" s="260"/>
    </row>
    <row r="18" spans="1:7" ht="24">
      <c r="A18" s="853" t="s">
        <v>218</v>
      </c>
      <c r="B18" s="854" t="s">
        <v>219</v>
      </c>
      <c r="C18" s="884" t="s">
        <v>220</v>
      </c>
      <c r="D18" s="870"/>
      <c r="E18" s="854"/>
      <c r="F18" s="260"/>
      <c r="G18" s="260"/>
    </row>
    <row r="19" spans="1:7" ht="34.5" customHeight="1">
      <c r="A19" s="853" t="s">
        <v>221</v>
      </c>
      <c r="B19" s="854" t="s">
        <v>222</v>
      </c>
      <c r="C19" s="855" t="s">
        <v>256</v>
      </c>
      <c r="D19" s="870"/>
      <c r="E19" s="854"/>
      <c r="F19" s="260"/>
      <c r="G19" s="260"/>
    </row>
    <row r="20" spans="1:7" ht="14.25">
      <c r="A20" s="853" t="s">
        <v>223</v>
      </c>
      <c r="B20" s="854" t="s">
        <v>224</v>
      </c>
      <c r="C20" s="855" t="s">
        <v>225</v>
      </c>
      <c r="D20" s="870"/>
      <c r="E20" s="854"/>
      <c r="F20" s="260"/>
      <c r="G20" s="260"/>
    </row>
    <row r="21" spans="1:7" ht="12" customHeight="1">
      <c r="A21" s="853" t="s">
        <v>762</v>
      </c>
      <c r="B21" s="854" t="s">
        <v>227</v>
      </c>
      <c r="C21" s="855" t="s">
        <v>203</v>
      </c>
      <c r="D21" s="856"/>
      <c r="E21" s="857"/>
      <c r="F21" s="260"/>
      <c r="G21" s="260"/>
    </row>
    <row r="22" spans="1:7" s="259" customFormat="1" ht="11.25" customHeight="1">
      <c r="A22" s="853" t="s">
        <v>67</v>
      </c>
      <c r="B22" s="887" t="s">
        <v>228</v>
      </c>
      <c r="C22" s="855"/>
      <c r="D22" s="856"/>
      <c r="E22" s="857"/>
      <c r="F22" s="260"/>
      <c r="G22" s="260"/>
    </row>
    <row r="23" spans="1:7" ht="24">
      <c r="A23" s="853" t="s">
        <v>494</v>
      </c>
      <c r="B23" s="854" t="s">
        <v>763</v>
      </c>
      <c r="C23" s="855" t="s">
        <v>226</v>
      </c>
      <c r="D23" s="870"/>
      <c r="E23" s="854"/>
      <c r="F23" s="260"/>
      <c r="G23" s="260"/>
    </row>
    <row r="24" spans="1:7" ht="24">
      <c r="A24" s="853" t="s">
        <v>229</v>
      </c>
      <c r="B24" s="854" t="s">
        <v>230</v>
      </c>
      <c r="C24" s="855" t="s">
        <v>231</v>
      </c>
      <c r="D24" s="856"/>
      <c r="E24" s="855"/>
      <c r="F24" s="260"/>
      <c r="G24" s="260"/>
    </row>
    <row r="25" spans="1:7" ht="25.5" customHeight="1">
      <c r="A25" s="853" t="s">
        <v>232</v>
      </c>
      <c r="B25" s="854" t="s">
        <v>233</v>
      </c>
      <c r="C25" s="855" t="s">
        <v>234</v>
      </c>
      <c r="D25" s="870"/>
      <c r="E25" s="854"/>
      <c r="F25" s="260"/>
      <c r="G25" s="260"/>
    </row>
    <row r="26" spans="1:7" ht="15" customHeight="1">
      <c r="A26" s="853" t="s">
        <v>254</v>
      </c>
      <c r="B26" s="854" t="s">
        <v>723</v>
      </c>
      <c r="C26" s="855" t="s">
        <v>235</v>
      </c>
      <c r="D26" s="856"/>
      <c r="E26" s="857"/>
      <c r="F26" s="260"/>
      <c r="G26" s="260"/>
    </row>
    <row r="27" spans="1:7" ht="11.25" customHeight="1">
      <c r="A27" s="853" t="s">
        <v>746</v>
      </c>
      <c r="B27" s="854" t="s">
        <v>227</v>
      </c>
      <c r="C27" s="855" t="s">
        <v>203</v>
      </c>
      <c r="D27" s="856"/>
      <c r="E27" s="857"/>
      <c r="F27" s="260"/>
      <c r="G27" s="260"/>
    </row>
    <row r="28" spans="1:7" s="261" customFormat="1" ht="12.75" customHeight="1">
      <c r="A28" s="853" t="s">
        <v>68</v>
      </c>
      <c r="B28" s="860" t="s">
        <v>375</v>
      </c>
      <c r="C28" s="855" t="s">
        <v>238</v>
      </c>
      <c r="D28" s="856">
        <v>3488.74</v>
      </c>
      <c r="E28" s="859">
        <f>ROUND(D28/E$3/12,2)</f>
        <v>0.27</v>
      </c>
      <c r="F28" s="260"/>
      <c r="G28" s="343"/>
    </row>
    <row r="29" spans="1:7" s="261" customFormat="1" ht="12" customHeight="1">
      <c r="A29" s="853" t="s">
        <v>495</v>
      </c>
      <c r="B29" s="860" t="s">
        <v>470</v>
      </c>
      <c r="C29" s="855" t="s">
        <v>238</v>
      </c>
      <c r="D29" s="856">
        <v>2232.75</v>
      </c>
      <c r="E29" s="857">
        <f>D29/E$3/12</f>
        <v>0.16984253765403926</v>
      </c>
      <c r="F29" s="895"/>
      <c r="G29" s="343"/>
    </row>
    <row r="30" spans="1:7" s="261" customFormat="1" ht="10.5" customHeight="1">
      <c r="A30" s="945" t="s">
        <v>338</v>
      </c>
      <c r="B30" s="946"/>
      <c r="C30" s="946"/>
      <c r="D30" s="946"/>
      <c r="E30" s="947"/>
      <c r="F30" s="895"/>
      <c r="G30" s="343"/>
    </row>
    <row r="31" spans="1:7" ht="25.5" customHeight="1">
      <c r="A31" s="853" t="s">
        <v>69</v>
      </c>
      <c r="B31" s="854" t="s">
        <v>252</v>
      </c>
      <c r="C31" s="855" t="s">
        <v>237</v>
      </c>
      <c r="D31" s="856">
        <v>1461.09</v>
      </c>
      <c r="E31" s="859">
        <f aca="true" t="shared" si="0" ref="E31:E38">ROUND(D31/E$3/12,2)</f>
        <v>0.11</v>
      </c>
      <c r="F31" s="895"/>
      <c r="G31" s="343"/>
    </row>
    <row r="32" spans="1:7" ht="14.25" customHeight="1">
      <c r="A32" s="853" t="s">
        <v>70</v>
      </c>
      <c r="B32" s="854" t="s">
        <v>472</v>
      </c>
      <c r="C32" s="855" t="s">
        <v>237</v>
      </c>
      <c r="D32" s="856">
        <f>профраб!I13</f>
        <v>0</v>
      </c>
      <c r="E32" s="857">
        <f t="shared" si="0"/>
        <v>0</v>
      </c>
      <c r="F32" s="895"/>
      <c r="G32" s="343"/>
    </row>
    <row r="33" spans="1:7" ht="24.75" customHeight="1">
      <c r="A33" s="853" t="s">
        <v>71</v>
      </c>
      <c r="B33" s="854" t="s">
        <v>251</v>
      </c>
      <c r="C33" s="855" t="s">
        <v>237</v>
      </c>
      <c r="D33" s="856">
        <v>2291.36</v>
      </c>
      <c r="E33" s="859">
        <f t="shared" si="0"/>
        <v>0.17</v>
      </c>
      <c r="F33" s="895"/>
      <c r="G33" s="343"/>
    </row>
    <row r="34" spans="1:7" ht="24" customHeight="1">
      <c r="A34" s="853" t="s">
        <v>349</v>
      </c>
      <c r="B34" s="854" t="s">
        <v>249</v>
      </c>
      <c r="C34" s="855" t="s">
        <v>237</v>
      </c>
      <c r="D34" s="856">
        <v>3876.85</v>
      </c>
      <c r="E34" s="859">
        <f t="shared" si="0"/>
        <v>0.29</v>
      </c>
      <c r="F34" s="895"/>
      <c r="G34" s="343"/>
    </row>
    <row r="35" spans="1:7" ht="24.75" customHeight="1">
      <c r="A35" s="853" t="s">
        <v>350</v>
      </c>
      <c r="B35" s="854" t="s">
        <v>752</v>
      </c>
      <c r="C35" s="855" t="s">
        <v>237</v>
      </c>
      <c r="D35" s="856">
        <v>3706.42</v>
      </c>
      <c r="E35" s="859">
        <f t="shared" si="0"/>
        <v>0.28</v>
      </c>
      <c r="F35" s="895"/>
      <c r="G35" s="343"/>
    </row>
    <row r="36" spans="1:7" ht="12" customHeight="1">
      <c r="A36" s="853" t="s">
        <v>351</v>
      </c>
      <c r="B36" s="854" t="s">
        <v>240</v>
      </c>
      <c r="C36" s="855" t="s">
        <v>237</v>
      </c>
      <c r="D36" s="856">
        <v>1737.28</v>
      </c>
      <c r="E36" s="857">
        <f t="shared" si="0"/>
        <v>0.13</v>
      </c>
      <c r="F36" s="895"/>
      <c r="G36" s="343"/>
    </row>
    <row r="37" spans="1:7" s="261" customFormat="1" ht="11.25" customHeight="1">
      <c r="A37" s="945" t="s">
        <v>339</v>
      </c>
      <c r="B37" s="946"/>
      <c r="C37" s="946"/>
      <c r="D37" s="946"/>
      <c r="E37" s="947"/>
      <c r="F37" s="895"/>
      <c r="G37" s="343"/>
    </row>
    <row r="38" spans="1:7" s="260" customFormat="1" ht="12" customHeight="1">
      <c r="A38" s="853" t="s">
        <v>352</v>
      </c>
      <c r="B38" s="854" t="s">
        <v>236</v>
      </c>
      <c r="C38" s="855" t="s">
        <v>237</v>
      </c>
      <c r="D38" s="856">
        <v>1535.01</v>
      </c>
      <c r="E38" s="859">
        <f t="shared" si="0"/>
        <v>0.12</v>
      </c>
      <c r="G38" s="343"/>
    </row>
    <row r="39" spans="1:7" s="260" customFormat="1" ht="12" customHeight="1">
      <c r="A39" s="853" t="s">
        <v>353</v>
      </c>
      <c r="B39" s="854" t="s">
        <v>193</v>
      </c>
      <c r="C39" s="855" t="s">
        <v>519</v>
      </c>
      <c r="D39" s="856">
        <v>977.04</v>
      </c>
      <c r="E39" s="861">
        <f>D39/E$3/12</f>
        <v>0.0743222272934733</v>
      </c>
      <c r="G39" s="343"/>
    </row>
    <row r="40" spans="1:7" s="260" customFormat="1" ht="14.25">
      <c r="A40" s="853" t="s">
        <v>354</v>
      </c>
      <c r="B40" s="854" t="s">
        <v>471</v>
      </c>
      <c r="C40" s="855" t="s">
        <v>238</v>
      </c>
      <c r="D40" s="856">
        <v>3837.54</v>
      </c>
      <c r="E40" s="857">
        <f>D40/E$3/12</f>
        <v>0.29191693290734827</v>
      </c>
      <c r="G40" s="343"/>
    </row>
    <row r="41" spans="1:7" s="260" customFormat="1" ht="12.75" customHeight="1">
      <c r="A41" s="853" t="s">
        <v>496</v>
      </c>
      <c r="B41" s="860" t="s">
        <v>467</v>
      </c>
      <c r="C41" s="855" t="s">
        <v>238</v>
      </c>
      <c r="D41" s="856">
        <v>1674.56</v>
      </c>
      <c r="E41" s="857">
        <f>D41/E$3/12</f>
        <v>0.12738171306861404</v>
      </c>
      <c r="G41" s="343"/>
    </row>
    <row r="42" spans="1:7" s="39" customFormat="1" ht="11.25" customHeight="1">
      <c r="A42" s="853" t="s">
        <v>355</v>
      </c>
      <c r="B42" s="854" t="s">
        <v>248</v>
      </c>
      <c r="C42" s="862"/>
      <c r="D42" s="863"/>
      <c r="E42" s="864"/>
      <c r="F42" s="353"/>
      <c r="G42" s="352"/>
    </row>
    <row r="43" spans="1:7" ht="24">
      <c r="A43" s="853" t="s">
        <v>341</v>
      </c>
      <c r="B43" s="854" t="s">
        <v>244</v>
      </c>
      <c r="C43" s="855" t="s">
        <v>313</v>
      </c>
      <c r="D43" s="856">
        <v>1210.74</v>
      </c>
      <c r="E43" s="857">
        <f aca="true" t="shared" si="1" ref="E43:E55">ROUND(D43/E$3/12,2)</f>
        <v>0.09</v>
      </c>
      <c r="F43" s="260"/>
      <c r="G43" s="343"/>
    </row>
    <row r="44" spans="1:7" ht="24" customHeight="1">
      <c r="A44" s="853" t="s">
        <v>356</v>
      </c>
      <c r="B44" s="854" t="s">
        <v>336</v>
      </c>
      <c r="C44" s="855" t="s">
        <v>239</v>
      </c>
      <c r="D44" s="856">
        <v>1886.88</v>
      </c>
      <c r="E44" s="857">
        <f t="shared" si="1"/>
        <v>0.14</v>
      </c>
      <c r="F44" s="260"/>
      <c r="G44" s="343"/>
    </row>
    <row r="45" spans="1:7" ht="24">
      <c r="A45" s="853" t="s">
        <v>357</v>
      </c>
      <c r="B45" s="854" t="s">
        <v>246</v>
      </c>
      <c r="C45" s="855" t="s">
        <v>170</v>
      </c>
      <c r="D45" s="856">
        <v>170.33</v>
      </c>
      <c r="E45" s="857">
        <f t="shared" si="1"/>
        <v>0.01</v>
      </c>
      <c r="F45" s="260"/>
      <c r="G45" s="343"/>
    </row>
    <row r="46" spans="1:7" ht="36">
      <c r="A46" s="853" t="s">
        <v>358</v>
      </c>
      <c r="B46" s="854" t="s">
        <v>245</v>
      </c>
      <c r="C46" s="855" t="s">
        <v>239</v>
      </c>
      <c r="D46" s="856">
        <f>профраб!I35</f>
        <v>0</v>
      </c>
      <c r="E46" s="857">
        <f t="shared" si="1"/>
        <v>0</v>
      </c>
      <c r="F46" s="260"/>
      <c r="G46" s="343"/>
    </row>
    <row r="47" spans="1:7" ht="24">
      <c r="A47" s="853" t="s">
        <v>359</v>
      </c>
      <c r="B47" s="854" t="s">
        <v>247</v>
      </c>
      <c r="C47" s="855" t="s">
        <v>170</v>
      </c>
      <c r="D47" s="856">
        <v>1257.92</v>
      </c>
      <c r="E47" s="857">
        <f t="shared" si="1"/>
        <v>0.1</v>
      </c>
      <c r="F47" s="260"/>
      <c r="G47" s="343"/>
    </row>
    <row r="48" spans="1:7" s="39" customFormat="1" ht="11.25" customHeight="1">
      <c r="A48" s="853" t="s">
        <v>360</v>
      </c>
      <c r="B48" s="865" t="s">
        <v>342</v>
      </c>
      <c r="C48" s="866"/>
      <c r="D48" s="863"/>
      <c r="E48" s="886"/>
      <c r="G48" s="352"/>
    </row>
    <row r="49" spans="1:7" s="39" customFormat="1" ht="24.75" customHeight="1">
      <c r="A49" s="853" t="s">
        <v>365</v>
      </c>
      <c r="B49" s="854" t="str">
        <f>'[1]Проф раб'!C7</f>
        <v>Очистка техэтажей от мусора со сбором его в тару и отноской в установленное место</v>
      </c>
      <c r="C49" s="855" t="s">
        <v>237</v>
      </c>
      <c r="D49" s="856">
        <v>545.34</v>
      </c>
      <c r="E49" s="859">
        <f t="shared" si="1"/>
        <v>0.04</v>
      </c>
      <c r="G49" s="352"/>
    </row>
    <row r="50" spans="1:7" ht="11.25" customHeight="1">
      <c r="A50" s="853" t="s">
        <v>497</v>
      </c>
      <c r="B50" s="854" t="s">
        <v>166</v>
      </c>
      <c r="C50" s="855" t="s">
        <v>237</v>
      </c>
      <c r="D50" s="856">
        <f>профраб!I8</f>
        <v>0</v>
      </c>
      <c r="E50" s="859">
        <f>ROUND(D50/E$3/12,3)</f>
        <v>0</v>
      </c>
      <c r="F50" s="260"/>
      <c r="G50" s="343"/>
    </row>
    <row r="51" spans="1:7" ht="12.75" customHeight="1">
      <c r="A51" s="853" t="s">
        <v>498</v>
      </c>
      <c r="B51" s="854" t="s">
        <v>167</v>
      </c>
      <c r="C51" s="855" t="s">
        <v>237</v>
      </c>
      <c r="D51" s="856">
        <v>911.95</v>
      </c>
      <c r="E51" s="857">
        <f t="shared" si="1"/>
        <v>0.07</v>
      </c>
      <c r="F51" s="260"/>
      <c r="G51" s="343"/>
    </row>
    <row r="52" spans="1:7" ht="12" customHeight="1">
      <c r="A52" s="853" t="s">
        <v>499</v>
      </c>
      <c r="B52" s="854" t="s">
        <v>114</v>
      </c>
      <c r="C52" s="855" t="s">
        <v>206</v>
      </c>
      <c r="D52" s="856">
        <v>548.84</v>
      </c>
      <c r="E52" s="857">
        <f t="shared" si="1"/>
        <v>0.04</v>
      </c>
      <c r="F52" s="260"/>
      <c r="G52" s="343"/>
    </row>
    <row r="53" spans="1:7" ht="12" customHeight="1">
      <c r="A53" s="853" t="s">
        <v>500</v>
      </c>
      <c r="B53" s="854" t="s">
        <v>119</v>
      </c>
      <c r="C53" s="855" t="s">
        <v>237</v>
      </c>
      <c r="D53" s="856">
        <f>профраб!I19</f>
        <v>0</v>
      </c>
      <c r="E53" s="857">
        <f t="shared" si="1"/>
        <v>0</v>
      </c>
      <c r="F53" s="260"/>
      <c r="G53" s="343"/>
    </row>
    <row r="54" spans="1:7" ht="11.25" customHeight="1">
      <c r="A54" s="853" t="s">
        <v>501</v>
      </c>
      <c r="B54" s="854" t="s">
        <v>250</v>
      </c>
      <c r="C54" s="855" t="s">
        <v>237</v>
      </c>
      <c r="D54" s="856">
        <v>510.99</v>
      </c>
      <c r="E54" s="859">
        <f t="shared" si="1"/>
        <v>0.04</v>
      </c>
      <c r="F54" s="260"/>
      <c r="G54" s="343"/>
    </row>
    <row r="55" spans="1:7" ht="36" customHeight="1">
      <c r="A55" s="853" t="s">
        <v>502</v>
      </c>
      <c r="B55" s="854" t="s">
        <v>751</v>
      </c>
      <c r="C55" s="855" t="s">
        <v>750</v>
      </c>
      <c r="D55" s="856">
        <v>17935.69</v>
      </c>
      <c r="E55" s="859">
        <f t="shared" si="1"/>
        <v>1.36</v>
      </c>
      <c r="F55" s="895"/>
      <c r="G55" s="343"/>
    </row>
    <row r="56" spans="1:7" s="261" customFormat="1" ht="12" customHeight="1">
      <c r="A56" s="948" t="s">
        <v>340</v>
      </c>
      <c r="B56" s="949"/>
      <c r="C56" s="949"/>
      <c r="D56" s="949"/>
      <c r="E56" s="950"/>
      <c r="F56" s="260"/>
      <c r="G56" s="343"/>
    </row>
    <row r="57" spans="1:7" s="260" customFormat="1" ht="14.25">
      <c r="A57" s="853" t="s">
        <v>361</v>
      </c>
      <c r="B57" s="854" t="s">
        <v>192</v>
      </c>
      <c r="C57" s="855" t="s">
        <v>238</v>
      </c>
      <c r="D57" s="856"/>
      <c r="E57" s="859"/>
      <c r="G57" s="343"/>
    </row>
    <row r="58" spans="1:7" s="260" customFormat="1" ht="14.25">
      <c r="A58" s="853" t="s">
        <v>483</v>
      </c>
      <c r="B58" s="854" t="s">
        <v>485</v>
      </c>
      <c r="C58" s="855" t="s">
        <v>238</v>
      </c>
      <c r="D58" s="856">
        <f>'ВСЕ раб'!H28</f>
        <v>0</v>
      </c>
      <c r="E58" s="857">
        <f aca="true" t="shared" si="2" ref="E57:E63">ROUND(D58/E$3/12,2)</f>
        <v>0</v>
      </c>
      <c r="G58" s="343"/>
    </row>
    <row r="59" spans="1:7" s="261" customFormat="1" ht="25.5" customHeight="1">
      <c r="A59" s="853" t="s">
        <v>484</v>
      </c>
      <c r="B59" s="854" t="s">
        <v>364</v>
      </c>
      <c r="C59" s="855" t="s">
        <v>253</v>
      </c>
      <c r="D59" s="856">
        <v>8000</v>
      </c>
      <c r="E59" s="857">
        <f t="shared" si="2"/>
        <v>0.61</v>
      </c>
      <c r="F59" s="260"/>
      <c r="G59" s="343"/>
    </row>
    <row r="60" spans="1:7" s="261" customFormat="1" ht="11.25" customHeight="1">
      <c r="A60" s="853" t="s">
        <v>376</v>
      </c>
      <c r="B60" s="854" t="s">
        <v>475</v>
      </c>
      <c r="C60" s="855" t="s">
        <v>238</v>
      </c>
      <c r="D60" s="856">
        <v>4046.86</v>
      </c>
      <c r="E60" s="857">
        <f t="shared" si="2"/>
        <v>0.31</v>
      </c>
      <c r="F60" s="260"/>
      <c r="G60" s="343"/>
    </row>
    <row r="61" spans="1:7" s="261" customFormat="1" ht="12.75" customHeight="1">
      <c r="A61" s="867" t="s">
        <v>710</v>
      </c>
      <c r="B61" s="868" t="s">
        <v>401</v>
      </c>
      <c r="C61" s="855" t="s">
        <v>238</v>
      </c>
      <c r="D61" s="869">
        <v>27630.27</v>
      </c>
      <c r="E61" s="857">
        <f t="shared" si="2"/>
        <v>2.1</v>
      </c>
      <c r="F61" s="260"/>
      <c r="G61" s="343"/>
    </row>
    <row r="62" spans="1:7" s="261" customFormat="1" ht="12" customHeight="1">
      <c r="A62" s="867" t="s">
        <v>711</v>
      </c>
      <c r="B62" s="868" t="s">
        <v>402</v>
      </c>
      <c r="C62" s="855" t="s">
        <v>238</v>
      </c>
      <c r="D62" s="869">
        <v>2899.26</v>
      </c>
      <c r="E62" s="857">
        <f t="shared" si="2"/>
        <v>0.22</v>
      </c>
      <c r="F62" s="260"/>
      <c r="G62" s="343"/>
    </row>
    <row r="63" spans="1:7" s="261" customFormat="1" ht="12" customHeight="1">
      <c r="A63" s="867" t="s">
        <v>712</v>
      </c>
      <c r="B63" s="868" t="s">
        <v>468</v>
      </c>
      <c r="C63" s="855" t="s">
        <v>238</v>
      </c>
      <c r="D63" s="869">
        <v>2511.84</v>
      </c>
      <c r="E63" s="857">
        <f t="shared" si="2"/>
        <v>0.19</v>
      </c>
      <c r="F63" s="895"/>
      <c r="G63" s="343"/>
    </row>
    <row r="64" spans="1:7" ht="12" customHeight="1" thickBot="1">
      <c r="A64" s="888"/>
      <c r="B64" s="889" t="s">
        <v>241</v>
      </c>
      <c r="C64" s="890"/>
      <c r="D64" s="891">
        <f>D5+D14+D28+D29+D31+D33+D34+D35+D36+D38+D39+D40+D41+D43+D44+D45+D47+D49+D50+D51+D52+D54+D55+D57+D59+D60+D61+D62+D63</f>
        <v>136243.55000000002</v>
      </c>
      <c r="E64" s="901">
        <f>D64/12/E3</f>
        <v>10.363878746386735</v>
      </c>
      <c r="F64" s="260"/>
      <c r="G64" s="343"/>
    </row>
    <row r="65" spans="1:5" ht="12.75">
      <c r="A65" s="257"/>
      <c r="B65" s="255"/>
      <c r="C65" s="254"/>
      <c r="D65" s="254"/>
      <c r="E65" s="852"/>
    </row>
    <row r="66" spans="1:5" ht="12.75">
      <c r="A66" s="258"/>
      <c r="D66" s="26" t="s">
        <v>767</v>
      </c>
      <c r="E66" s="263"/>
    </row>
    <row r="67" spans="4:5" ht="12.75">
      <c r="D67" s="262"/>
      <c r="E67" s="262"/>
    </row>
    <row r="68" spans="2:5" ht="12.75">
      <c r="B68" s="951"/>
      <c r="C68" s="951"/>
      <c r="D68" s="26" t="s">
        <v>768</v>
      </c>
      <c r="E68" s="262"/>
    </row>
    <row r="73" ht="12.75">
      <c r="E73" s="851"/>
    </row>
  </sheetData>
  <sheetProtection/>
  <mergeCells count="7">
    <mergeCell ref="A1:E1"/>
    <mergeCell ref="A13:E13"/>
    <mergeCell ref="A4:E4"/>
    <mergeCell ref="B68:C68"/>
    <mergeCell ref="A30:E30"/>
    <mergeCell ref="A37:E37"/>
    <mergeCell ref="A56:E56"/>
  </mergeCells>
  <printOptions/>
  <pageMargins left="0.7874015748031497" right="0.3937007874015748" top="0" bottom="0" header="0.1968503937007874" footer="0.1968503937007874"/>
  <pageSetup horizontalDpi="600" verticalDpi="600" orientation="portrait" paperSize="9" scale="71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2014-08-20T06:23:23Z</cp:lastPrinted>
  <dcterms:created xsi:type="dcterms:W3CDTF">2007-07-20T13:26:54Z</dcterms:created>
  <dcterms:modified xsi:type="dcterms:W3CDTF">2014-08-20T06:24:47Z</dcterms:modified>
  <cp:category/>
  <cp:version/>
  <cp:contentType/>
  <cp:contentStatus/>
</cp:coreProperties>
</file>