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5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</sheets>
  <externalReferences>
    <externalReference r:id="rId9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<sst xmlns="http://schemas.openxmlformats.org/spreadsheetml/2006/main" count="1196" uniqueCount="784">
  <si>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</si>
  <si>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</si>
  <si>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</si>
  <si>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</si>
  <si>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</si>
  <si>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</si>
  <si>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</si>
  <si>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</si>
  <si>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</si>
  <si>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</si>
  <si>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</si>
  <si>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</si>
  <si>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</si>
  <si>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</si>
  <si>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</si>
  <si>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</si>
  <si>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</si>
  <si>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</si>
  <si>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</si>
  <si>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</si>
  <si>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</si>
  <si>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</si>
  <si>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</si>
  <si>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</si>
  <si>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</si>
  <si>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</si>
  <si>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</si>
  <si>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</si>
  <si>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</si>
  <si>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</si>
  <si>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</si>
  <si>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</si>
  <si>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</si>
  <si>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</si>
  <si>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</si>
  <si>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</si>
  <si>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</si>
  <si>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</si>
  <si>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</si>
  <si>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</si>
  <si>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</si>
  <si>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</si>
  <si>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</si>
  <si>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</si>
  <si>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</si>
  <si>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</si>
  <si>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</si>
  <si>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</si>
  <si>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</si>
  <si>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</si>
  <si>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</si>
  <si>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</si>
  <si>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</si>
  <si>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</si>
  <si>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</si>
  <si>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</si>
  <si>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</si>
  <si>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</si>
  <si>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</si>
  <si>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</si>
  <si>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</si>
  <si>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</si>
  <si>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</si>
  <si>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</si>
  <si>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</si>
  <si>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</si>
  <si>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</si>
  <si>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</si>
  <si>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</si>
  <si>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</si>
  <si>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</si>
  <si>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</si>
  <si>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</si>
  <si>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</si>
  <si>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</si>
  <si>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</si>
  <si>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</si>
  <si>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</si>
  <si>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</si>
  <si>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</si>
  <si>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</si>
  <si>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</si>
  <si>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</si>
  <si>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</si>
  <si>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</si>
  <si>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</si>
  <si>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</si>
  <si>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</si>
  <si>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</si>
  <si>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</si>
  <si>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</si>
  <si>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</si>
  <si>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</si>
  <si>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</si>
  <si>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</si>
  <si>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</si>
  <si>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</si>
  <si>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</si>
  <si>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</si>
  <si>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</si>
  <si>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</si>
  <si>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</si>
  <si>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</si>
  <si>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</si>
  <si>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</si>
  <si>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</si>
  <si>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</si>
  <si>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</si>
  <si>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</si>
  <si>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</si>
  <si>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</si>
  <si>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</si>
  <si>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</si>
  <si>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</si>
  <si>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</si>
  <si>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</si>
  <si>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</si>
  <si>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</si>
  <si>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</si>
  <si>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</si>
  <si>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</si>
  <si>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</si>
  <si>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</si>
  <si>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</si>
  <si>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</si>
  <si>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</si>
  <si>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</si>
  <si>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</si>
  <si>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</si>
  <si>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</si>
  <si>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</si>
  <si>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</si>
  <si>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</si>
  <si>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</si>
  <si>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</si>
  <si>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</si>
  <si>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</si>
  <si>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</si>
  <si>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</si>
  <si>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</si>
  <si>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</si>
  <si>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</si>
  <si>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</si>
  <si>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</si>
  <si>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</si>
  <si>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</si>
  <si>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</si>
  <si>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</si>
  <si>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</si>
  <si>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</si>
  <si>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</si>
  <si>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</si>
  <si>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</si>
  <si>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</si>
  <si>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</si>
  <si>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</si>
  <si>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</si>
  <si>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</si>
  <si>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</si>
  <si>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</si>
  <si>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</si>
  <si>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</si>
  <si>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</si>
  <si>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</si>
  <si>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</si>
  <si>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</si>
  <si>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</si>
  <si>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</si>
  <si>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</si>
  <si>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</si>
  <si>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</si>
  <si>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</si>
  <si>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</si>
  <si>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</si>
  <si>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</si>
  <si>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</si>
  <si>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</si>
  <si>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</si>
  <si>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</si>
  <si>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</si>
  <si>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</si>
  <si>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</si>
  <si>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</si>
  <si>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</si>
  <si>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</si>
  <si>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</si>
  <si>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</si>
  <si>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</si>
  <si>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</si>
  <si>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</si>
  <si>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</si>
  <si>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</si>
  <si>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</si>
  <si>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</si>
  <si>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</si>
  <si>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</si>
  <si>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</si>
  <si>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</si>
  <si>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</si>
  <si>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</si>
  <si>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</si>
  <si>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</si>
  <si>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</si>
  <si>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</si>
  <si>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</si>
  <si>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</si>
  <si>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</si>
  <si>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</si>
  <si>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</si>
  <si>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</si>
  <si>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</si>
  <si>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</si>
  <si>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</si>
  <si>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</si>
  <si>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</si>
  <si>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</si>
  <si>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</si>
  <si>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</si>
  <si>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</si>
  <si>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</si>
  <si>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</si>
  <si>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</si>
  <si>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</si>
  <si>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</si>
  <si>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</si>
  <si>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</si>
  <si>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</si>
  <si>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</si>
  <si>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Уборка контейнерных площадок</t>
  </si>
  <si>
    <t>Теплый период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</si>
  <si>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</si>
  <si>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</si>
  <si>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</si>
  <si>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</si>
  <si>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</si>
  <si>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</si>
  <si>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</si>
  <si>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</si>
  <si>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</si>
  <si>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</si>
  <si>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</si>
  <si>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</si>
  <si>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</si>
  <si>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</si>
  <si>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</si>
  <si>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</si>
  <si>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</si>
  <si>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</si>
  <si>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</si>
  <si>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</si>
  <si>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</si>
  <si>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</si>
  <si>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</si>
  <si>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</si>
  <si>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</si>
  <si>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</si>
  <si>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</si>
  <si>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</si>
  <si>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</si>
  <si>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</si>
  <si>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</si>
  <si>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</si>
  <si>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</si>
  <si>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</si>
  <si>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</si>
  <si>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</si>
  <si>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</si>
  <si>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</si>
  <si>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</si>
  <si>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</si>
  <si>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</si>
  <si>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</si>
  <si>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</si>
  <si>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</si>
  <si>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</si>
  <si>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</si>
  <si>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</si>
  <si>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</si>
  <si>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</si>
  <si>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</si>
  <si>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</si>
  <si>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</si>
  <si>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</si>
  <si>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</si>
  <si>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</si>
  <si>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</si>
  <si>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</si>
  <si>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</si>
  <si>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</si>
  <si>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</si>
  <si>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</si>
  <si>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</si>
  <si>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</si>
  <si>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</si>
  <si>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</si>
  <si>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</si>
  <si>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</si>
  <si>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</si>
  <si>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</si>
  <si>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</si>
  <si>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</si>
  <si>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</si>
  <si>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</si>
  <si>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</si>
  <si>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</si>
  <si>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</si>
  <si>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</si>
  <si>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</si>
  <si>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</si>
  <si>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</si>
  <si>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</si>
  <si>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</si>
  <si>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</si>
  <si>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</si>
  <si>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</si>
  <si>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</si>
  <si>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</si>
  <si>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</si>
  <si>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</si>
  <si>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</si>
  <si>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</si>
  <si>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</si>
  <si>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</si>
  <si>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</si>
  <si>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</si>
  <si>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</si>
  <si>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</si>
  <si>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</si>
  <si>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</si>
  <si>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</si>
  <si>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</si>
  <si>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</si>
  <si>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</si>
  <si>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</si>
  <si>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</si>
  <si>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</si>
  <si>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</si>
  <si>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</si>
  <si>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</si>
  <si>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</si>
  <si>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</si>
  <si>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</si>
  <si>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</si>
  <si>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</si>
  <si>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</si>
  <si>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</si>
  <si>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</si>
  <si>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</si>
  <si>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</si>
  <si>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</si>
  <si>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</si>
  <si>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</si>
  <si>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</si>
  <si>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</si>
  <si>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</si>
  <si>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</si>
  <si>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</si>
  <si>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</si>
  <si>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</si>
  <si>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</si>
  <si>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</si>
  <si>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</si>
  <si>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</si>
  <si>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</si>
  <si>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</si>
  <si>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</si>
  <si>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</si>
  <si>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</si>
  <si>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</si>
  <si>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</si>
  <si>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</si>
  <si>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</si>
  <si>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</si>
  <si>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</si>
  <si>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</si>
  <si>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</si>
  <si>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</si>
  <si>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</si>
  <si>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</si>
  <si>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</si>
  <si>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</si>
  <si>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</si>
  <si>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</si>
  <si>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</si>
  <si>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</si>
  <si>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</si>
  <si>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</si>
  <si>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</si>
  <si>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</si>
  <si>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</si>
  <si>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</si>
  <si>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</si>
  <si>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</si>
  <si>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</si>
  <si>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</si>
  <si>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</si>
  <si>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</si>
  <si>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</si>
  <si>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</si>
  <si>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</si>
  <si>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</si>
  <si>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</si>
  <si>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</si>
  <si>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</si>
  <si>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</si>
  <si>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</si>
  <si>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</si>
  <si>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</si>
  <si>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</si>
  <si>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</si>
  <si>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</si>
  <si>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</si>
  <si>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</si>
  <si>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</si>
  <si>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</si>
  <si>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</si>
  <si>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</si>
  <si>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</si>
  <si>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</si>
  <si>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</si>
  <si>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</si>
  <si>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</si>
  <si>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</si>
  <si>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</si>
  <si>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</si>
  <si>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</si>
  <si>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</si>
  <si>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</si>
  <si>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</si>
  <si>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</si>
  <si>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</si>
  <si>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</si>
  <si>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</si>
  <si>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</si>
  <si>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</si>
  <si>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</si>
  <si>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</si>
  <si>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</si>
  <si>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</si>
  <si>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</si>
  <si>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</si>
  <si>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</si>
  <si>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</si>
  <si>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</si>
  <si>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</si>
  <si>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</si>
  <si>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</si>
  <si>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</si>
  <si>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</si>
  <si>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</si>
  <si>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</si>
  <si>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</si>
  <si>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</si>
  <si>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</si>
  <si>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</si>
  <si>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</si>
  <si>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</si>
  <si>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</si>
  <si>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</si>
  <si>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</si>
  <si>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</si>
  <si>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</si>
  <si>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</si>
  <si>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</si>
  <si>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</si>
  <si>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</si>
  <si>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</si>
  <si>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</si>
  <si>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</si>
  <si>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</si>
  <si>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</si>
  <si>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</si>
  <si>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</si>
  <si>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</si>
  <si>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</si>
  <si>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</si>
  <si>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</si>
  <si>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</si>
  <si>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</si>
  <si>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5.3.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</si>
  <si>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</si>
  <si>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</si>
  <si>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</si>
  <si>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</si>
  <si>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</si>
  <si>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</si>
  <si>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</si>
  <si>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</si>
  <si>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</si>
  <si>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</si>
  <si>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</si>
  <si>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</si>
  <si>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</si>
  <si>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</si>
  <si>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</si>
  <si>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</si>
  <si>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</si>
  <si>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</si>
  <si>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</si>
  <si>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</si>
  <si>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</si>
  <si>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</si>
  <si>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</si>
  <si>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</si>
  <si>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</si>
  <si>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</si>
  <si>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</si>
  <si>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</si>
  <si>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</si>
  <si>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</si>
  <si>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</si>
  <si>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</si>
  <si>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</si>
  <si>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</si>
  <si>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</si>
  <si>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</si>
  <si>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</si>
  <si>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</si>
  <si>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</si>
  <si>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</si>
  <si>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</si>
  <si>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</si>
  <si>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</si>
  <si>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</si>
  <si>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</si>
  <si>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</si>
  <si>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</si>
  <si>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</si>
  <si>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</si>
  <si>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</si>
  <si>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</si>
  <si>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</si>
  <si>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</si>
  <si>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</si>
  <si>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</si>
  <si>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</si>
  <si>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</si>
  <si>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</si>
  <si>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</si>
  <si>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</si>
  <si>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</si>
  <si>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</si>
  <si>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</si>
  <si>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</si>
  <si>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</si>
  <si>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</si>
  <si>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</si>
  <si>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</si>
  <si>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</si>
  <si>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</si>
  <si>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</si>
  <si>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</si>
  <si>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</si>
  <si>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</si>
  <si>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</si>
  <si>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</si>
  <si>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</si>
  <si>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</si>
  <si>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</si>
  <si>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</si>
  <si>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</si>
  <si>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</si>
  <si>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</si>
  <si>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</si>
  <si>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</si>
  <si>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</si>
  <si>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</si>
  <si>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</si>
  <si>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</si>
  <si>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</si>
  <si>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</si>
  <si>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</si>
  <si>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</si>
  <si>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</si>
  <si>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</si>
  <si>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</si>
  <si>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</si>
  <si>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</si>
  <si>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</si>
  <si>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</si>
  <si>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</si>
  <si>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</si>
  <si>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</si>
  <si>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</si>
  <si>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</si>
  <si>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</si>
  <si>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</si>
  <si>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</si>
  <si>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</si>
  <si>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</si>
  <si>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</si>
  <si>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</si>
  <si>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</si>
  <si>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</si>
  <si>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</si>
  <si>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</si>
  <si>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</si>
  <si>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</si>
  <si>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</si>
  <si>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</si>
  <si>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</si>
  <si>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</si>
  <si>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</si>
  <si>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</si>
  <si>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</si>
  <si>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</si>
  <si>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</si>
  <si>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</si>
  <si>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</si>
  <si>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</si>
  <si>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</si>
  <si>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</si>
  <si>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</si>
  <si>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</si>
  <si>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</si>
  <si>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</si>
  <si>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</si>
  <si>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</si>
  <si>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</si>
  <si>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</si>
  <si>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</si>
  <si>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</si>
  <si>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</si>
  <si>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</si>
  <si>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</si>
  <si>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</si>
  <si>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</si>
  <si>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</si>
  <si>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</si>
  <si>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</si>
  <si>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</si>
  <si>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</si>
  <si>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</si>
  <si>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</si>
  <si>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</si>
  <si>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</si>
  <si>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</si>
  <si>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</si>
  <si>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</si>
  <si>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</si>
  <si>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</si>
  <si>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</si>
  <si>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</si>
  <si>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</si>
  <si>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</si>
  <si>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</si>
  <si>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</si>
  <si>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</si>
  <si>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</si>
  <si>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</si>
  <si>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</si>
  <si>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</si>
  <si>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</si>
  <si>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</si>
  <si>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</si>
  <si>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</si>
  <si>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</si>
  <si>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</si>
  <si>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</si>
  <si>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</si>
  <si>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</si>
  <si>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</si>
  <si>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</si>
  <si>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</si>
  <si>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</si>
  <si>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</si>
  <si>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</si>
  <si>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</si>
  <si>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</si>
  <si>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</si>
  <si>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</si>
  <si>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</si>
  <si>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</si>
  <si>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</si>
  <si>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</si>
  <si>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</si>
  <si>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</si>
  <si>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</si>
  <si>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</si>
  <si>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</si>
  <si>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</si>
  <si>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</si>
  <si>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</si>
  <si>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</si>
  <si>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</si>
  <si>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</si>
  <si>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</si>
  <si>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</si>
  <si>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</si>
  <si>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</si>
  <si>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</si>
  <si>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</si>
  <si>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</si>
  <si>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</si>
  <si>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</si>
  <si>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</si>
  <si>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</si>
  <si>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</si>
  <si>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</si>
  <si>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</si>
  <si>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</si>
  <si>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</si>
  <si>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</si>
  <si>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</si>
  <si>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</si>
  <si>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</si>
  <si>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</si>
  <si>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</si>
  <si>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</si>
  <si>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</si>
  <si>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</si>
  <si>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</si>
  <si>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</si>
  <si>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</si>
  <si>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</si>
  <si>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</si>
  <si>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</si>
  <si>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</si>
  <si>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</si>
  <si>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</si>
  <si>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</si>
  <si>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</si>
  <si>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</si>
  <si>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</si>
  <si>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</si>
  <si>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</si>
  <si>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</si>
  <si>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</si>
  <si>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</si>
  <si>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</si>
  <si>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</si>
  <si>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</si>
  <si>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</si>
  <si>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</si>
  <si>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</si>
  <si>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 xml:space="preserve">Влажное подметание лестничных площадок и маршей нижних двух этажей  </t>
  </si>
  <si>
    <t>1.7.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</si>
  <si>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</si>
  <si>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</si>
  <si>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Испытание трубопроводов системы центрального отопления (наладка системы отопления)</t>
  </si>
  <si>
    <t>база165</t>
  </si>
  <si>
    <t>5.2.</t>
  </si>
  <si>
    <t xml:space="preserve">Влажное подметание лестн. площ. и маршей выше второго этажа  </t>
  </si>
  <si>
    <t>Сводная таблица "Содержание жилого дома по  видам работ" по ул. Привольная,6</t>
  </si>
  <si>
    <t>Стоимость затрат на содержание  внутридомового инженерного оборудования и конструктивных элементов по ул. Привольная,6</t>
  </si>
  <si>
    <t>Санитарное содержание жилых зданий и придомовой территории ж.д.№6 по ул. Привольная</t>
  </si>
  <si>
    <t>Исходные данные  дома по  ул. Привольная, 6</t>
  </si>
  <si>
    <t>1,2,3п - 8524*2=17048, п.4,5,6 - 8264</t>
  </si>
  <si>
    <t>16788*2=33576</t>
  </si>
  <si>
    <t>Затраты на спецодежду, инвентарь (прик 191, нормы по спецодежде) ж.д. № 6 по ул. Привольная</t>
  </si>
  <si>
    <t>Мытье кабины лифта</t>
  </si>
  <si>
    <t>1.8.</t>
  </si>
  <si>
    <t>Содержание и обслуживание лифта</t>
  </si>
  <si>
    <t>3.7.</t>
  </si>
  <si>
    <t>Прочистка лежаков и стояков канализации</t>
  </si>
  <si>
    <t>3.2</t>
  </si>
  <si>
    <t xml:space="preserve"> - кровли (мягк.)</t>
  </si>
  <si>
    <t>норма на работы</t>
  </si>
  <si>
    <t>дюбели 0,8кг на 100м.п.</t>
  </si>
  <si>
    <t>кронштейн 49,7кг на100м.п.</t>
  </si>
  <si>
    <t>кислород0,35куб.м.на 100м.п</t>
  </si>
  <si>
    <t>карбид4,2кг или 0,32 куб.м. на 100 м.п. трубы</t>
  </si>
  <si>
    <t>проволока сварочная 0,2кг на 100м.п.</t>
  </si>
  <si>
    <t>электроды 2,9 кг на 100м.п.</t>
  </si>
  <si>
    <t>прочие масло, прокладки, болты</t>
  </si>
  <si>
    <t>прочие паста корундовая, набивка для сальников</t>
  </si>
  <si>
    <t xml:space="preserve">40 м на 0,21 м кв.=8,4 м кв./на 3м.кв.идет 1кг. Краски=2,8 </t>
  </si>
  <si>
    <t xml:space="preserve">ремонт щитов </t>
  </si>
  <si>
    <t>замена автоматических выключателей</t>
  </si>
  <si>
    <t>замена стенного патрона</t>
  </si>
  <si>
    <t>автоматический выключатель</t>
  </si>
  <si>
    <t>1шт.</t>
  </si>
  <si>
    <t>стенной патрон</t>
  </si>
  <si>
    <t>завышено на 200</t>
  </si>
  <si>
    <t>Влажная протирка подоконников, оконных решеток, перил, чердачных лестниц, почтовых ящиков</t>
  </si>
  <si>
    <t xml:space="preserve">а) Подметание территорий в дни без осадков на территориях </t>
  </si>
  <si>
    <t>1 раз в  сутки</t>
  </si>
  <si>
    <t>1 раза в год</t>
  </si>
  <si>
    <t>з/п</t>
  </si>
  <si>
    <t>отчисл</t>
  </si>
  <si>
    <t>2.2.3.</t>
  </si>
  <si>
    <t xml:space="preserve">Перечень работ и услуг по содержанию и текущему ремонту общего имущества многоквартирного дома по адресу: ул. Привольная, 6 </t>
  </si>
  <si>
    <t>с 01.07.14г.-13,76</t>
  </si>
  <si>
    <t>без ОДН- 12,64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</si>
</sst>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9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4" fontId="23" fillId="0" borderId="67" xfId="0" applyNumberFormat="1" applyFont="1" applyBorder="1" applyAlignment="1">
      <alignment horizontal="center" vertical="top" wrapText="1"/>
    </xf>
    <xf numFmtId="0" fontId="23" fillId="0" borderId="67" xfId="0" applyFont="1" applyBorder="1" applyAlignment="1">
      <alignment vertical="top" wrapText="1"/>
    </xf>
    <xf numFmtId="2" fontId="23" fillId="33" borderId="44" xfId="0" applyNumberFormat="1" applyFont="1" applyFill="1" applyBorder="1" applyAlignment="1">
      <alignment horizontal="center" wrapText="1"/>
    </xf>
    <xf numFmtId="0" fontId="24" fillId="0" borderId="0" xfId="0" applyFont="1" applyAlignment="1">
      <alignment vertical="top"/>
    </xf>
    <xf numFmtId="0" fontId="0" fillId="35" borderId="57" xfId="0" applyFont="1" applyFill="1" applyBorder="1" applyAlignment="1">
      <alignment horizontal="center" wrapText="1"/>
    </xf>
    <xf numFmtId="0" fontId="0" fillId="43" borderId="57" xfId="0" applyFont="1" applyFill="1" applyBorder="1" applyAlignment="1">
      <alignment horizontal="center" wrapText="1"/>
    </xf>
    <xf numFmtId="0" fontId="31" fillId="0" borderId="11" xfId="0" applyFont="1" applyBorder="1" applyAlignment="1">
      <alignment horizontal="center" vertical="top" wrapText="1"/>
    </xf>
    <xf numFmtId="0" fontId="31" fillId="36" borderId="57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4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23" fillId="0" borderId="11" xfId="0" applyFont="1" applyBorder="1" applyAlignment="1">
      <alignment vertical="top" wrapText="1"/>
    </xf>
    <xf numFmtId="49" fontId="27" fillId="0" borderId="19" xfId="0" applyNumberFormat="1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4" fontId="27" fillId="0" borderId="11" xfId="0" applyNumberFormat="1" applyFont="1" applyBorder="1" applyAlignment="1">
      <alignment horizontal="center" vertical="top" wrapText="1"/>
    </xf>
    <xf numFmtId="166" fontId="27" fillId="0" borderId="65" xfId="0" applyNumberFormat="1" applyFont="1" applyBorder="1" applyAlignment="1">
      <alignment horizontal="center" vertical="top" wrapText="1"/>
    </xf>
    <xf numFmtId="166" fontId="23" fillId="0" borderId="77" xfId="0" applyNumberFormat="1" applyFont="1" applyBorder="1" applyAlignment="1">
      <alignment horizontal="center" vertical="top" wrapText="1"/>
    </xf>
    <xf numFmtId="166" fontId="31" fillId="0" borderId="65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49" fontId="22" fillId="0" borderId="18" xfId="0" applyNumberFormat="1" applyFont="1" applyBorder="1" applyAlignment="1">
      <alignment horizontal="center" wrapText="1"/>
    </xf>
    <xf numFmtId="0" fontId="0" fillId="0" borderId="50" xfId="0" applyFont="1" applyBorder="1" applyAlignment="1">
      <alignment wrapText="1"/>
    </xf>
    <xf numFmtId="0" fontId="0" fillId="0" borderId="56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31">
      <selection activeCell="D42" sqref="D42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16" t="s">
        <v>746</v>
      </c>
      <c r="C1" s="916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150</v>
      </c>
      <c r="D3" s="536" t="s">
        <v>475</v>
      </c>
      <c r="E3"/>
      <c r="F3"/>
      <c r="G3"/>
    </row>
    <row r="4" spans="1:7" s="243" customFormat="1" ht="15" customHeight="1" thickBot="1">
      <c r="A4" s="299" t="s">
        <v>86</v>
      </c>
      <c r="B4" s="304" t="s">
        <v>190</v>
      </c>
      <c r="C4" s="299" t="s">
        <v>87</v>
      </c>
      <c r="D4" s="540" t="s">
        <v>71</v>
      </c>
      <c r="E4"/>
      <c r="F4"/>
      <c r="G4"/>
    </row>
    <row r="5" spans="1:7" s="238" customFormat="1" ht="15" customHeight="1">
      <c r="A5" s="124" t="s">
        <v>190</v>
      </c>
      <c r="B5" s="537" t="s">
        <v>255</v>
      </c>
      <c r="C5" s="538" t="s">
        <v>168</v>
      </c>
      <c r="D5" s="539">
        <v>214</v>
      </c>
      <c r="E5"/>
      <c r="F5"/>
      <c r="G5"/>
    </row>
    <row r="6" spans="1:7" s="238" customFormat="1" ht="15" customHeight="1">
      <c r="A6" s="121" t="s">
        <v>87</v>
      </c>
      <c r="B6" s="240" t="s">
        <v>184</v>
      </c>
      <c r="C6" s="381" t="s">
        <v>168</v>
      </c>
      <c r="D6" s="452">
        <v>218</v>
      </c>
      <c r="E6"/>
      <c r="F6"/>
      <c r="G6"/>
    </row>
    <row r="7" spans="1:7" s="238" customFormat="1" ht="15" customHeight="1" thickBot="1">
      <c r="A7" s="249" t="s">
        <v>71</v>
      </c>
      <c r="B7" s="345" t="s">
        <v>185</v>
      </c>
      <c r="C7" s="382" t="s">
        <v>280</v>
      </c>
      <c r="D7" s="453">
        <v>659</v>
      </c>
      <c r="E7"/>
      <c r="F7"/>
      <c r="G7"/>
    </row>
    <row r="8" spans="1:7" s="4" customFormat="1" ht="27.75" customHeight="1" thickBot="1">
      <c r="A8" s="346" t="s">
        <v>72</v>
      </c>
      <c r="B8" s="308" t="s">
        <v>403</v>
      </c>
      <c r="C8" s="314" t="s">
        <v>268</v>
      </c>
      <c r="D8" s="778">
        <f>D9+D10+D11</f>
        <v>12138.7</v>
      </c>
      <c r="E8" s="5"/>
      <c r="F8" s="5"/>
      <c r="G8" s="5"/>
    </row>
    <row r="9" spans="1:7" s="349" customFormat="1" ht="15" customHeight="1">
      <c r="A9" s="124" t="s">
        <v>73</v>
      </c>
      <c r="B9" s="347" t="s">
        <v>64</v>
      </c>
      <c r="C9" s="348" t="s">
        <v>268</v>
      </c>
      <c r="D9" s="556">
        <v>813.2</v>
      </c>
      <c r="E9" s="115"/>
      <c r="F9" s="115"/>
      <c r="G9" t="s">
        <v>773</v>
      </c>
    </row>
    <row r="10" spans="1:7" s="349" customFormat="1" ht="15" customHeight="1" thickBot="1">
      <c r="A10" s="428" t="s">
        <v>74</v>
      </c>
      <c r="B10" s="427" t="s">
        <v>402</v>
      </c>
      <c r="C10" s="348" t="s">
        <v>268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75</v>
      </c>
      <c r="B11" s="308" t="s">
        <v>404</v>
      </c>
      <c r="C11" s="309" t="s">
        <v>268</v>
      </c>
      <c r="D11" s="307">
        <f>D12*1</f>
        <v>11325.5</v>
      </c>
      <c r="E11"/>
      <c r="F11"/>
      <c r="G11"/>
    </row>
    <row r="12" spans="1:7" s="1" customFormat="1" ht="15" customHeight="1">
      <c r="A12" s="124"/>
      <c r="B12" s="123" t="s">
        <v>358</v>
      </c>
      <c r="C12" s="18" t="s">
        <v>268</v>
      </c>
      <c r="D12" s="350">
        <v>11325.5</v>
      </c>
      <c r="E12"/>
      <c r="F12"/>
      <c r="G12"/>
    </row>
    <row r="13" spans="1:7" s="1" customFormat="1" ht="15" customHeight="1">
      <c r="A13" s="124"/>
      <c r="B13" s="123" t="s">
        <v>359</v>
      </c>
      <c r="C13" s="18" t="s">
        <v>268</v>
      </c>
      <c r="D13" s="350"/>
      <c r="E13"/>
      <c r="F13"/>
      <c r="G13"/>
    </row>
    <row r="14" spans="1:7" s="1" customFormat="1" ht="15" customHeight="1">
      <c r="A14" s="124" t="s">
        <v>76</v>
      </c>
      <c r="B14" s="123" t="s">
        <v>62</v>
      </c>
      <c r="C14" s="18" t="s">
        <v>268</v>
      </c>
      <c r="D14" s="350">
        <v>1773</v>
      </c>
      <c r="E14"/>
      <c r="F14"/>
      <c r="G14"/>
    </row>
    <row r="15" spans="1:7" s="1" customFormat="1" ht="15" customHeight="1">
      <c r="A15" s="121" t="s">
        <v>77</v>
      </c>
      <c r="B15" s="8" t="s">
        <v>260</v>
      </c>
      <c r="C15" s="7" t="s">
        <v>268</v>
      </c>
      <c r="D15" s="343">
        <v>0</v>
      </c>
      <c r="E15"/>
      <c r="F15"/>
      <c r="G15"/>
    </row>
    <row r="16" spans="1:7" s="1" customFormat="1" ht="15" customHeight="1">
      <c r="A16" s="121" t="s">
        <v>78</v>
      </c>
      <c r="B16" s="8" t="s">
        <v>259</v>
      </c>
      <c r="C16" s="7" t="s">
        <v>268</v>
      </c>
      <c r="D16" s="343">
        <v>1256.3</v>
      </c>
      <c r="E16"/>
      <c r="F16"/>
      <c r="G16"/>
    </row>
    <row r="17" spans="1:7" s="1" customFormat="1" ht="15" customHeight="1">
      <c r="A17" s="121" t="s">
        <v>79</v>
      </c>
      <c r="B17" s="8" t="s">
        <v>63</v>
      </c>
      <c r="C17" s="7" t="s">
        <v>268</v>
      </c>
      <c r="D17" s="343">
        <v>1773</v>
      </c>
      <c r="E17"/>
      <c r="F17"/>
      <c r="G17"/>
    </row>
    <row r="18" spans="1:7" s="1" customFormat="1" ht="15" customHeight="1">
      <c r="A18" s="121" t="s">
        <v>80</v>
      </c>
      <c r="B18" s="8" t="s">
        <v>483</v>
      </c>
      <c r="C18" s="7" t="s">
        <v>484</v>
      </c>
      <c r="D18" s="343">
        <v>46275</v>
      </c>
      <c r="E18"/>
      <c r="F18"/>
      <c r="G18"/>
    </row>
    <row r="19" spans="1:7" s="1" customFormat="1" ht="15" customHeight="1">
      <c r="A19" s="121" t="s">
        <v>154</v>
      </c>
      <c r="B19" s="8" t="s">
        <v>311</v>
      </c>
      <c r="C19" s="7" t="s">
        <v>312</v>
      </c>
      <c r="D19" s="343">
        <v>168</v>
      </c>
      <c r="E19"/>
      <c r="F19"/>
      <c r="G19"/>
    </row>
    <row r="20" spans="1:7" s="1" customFormat="1" ht="15" customHeight="1">
      <c r="A20" s="121" t="s">
        <v>81</v>
      </c>
      <c r="B20" s="8" t="s">
        <v>314</v>
      </c>
      <c r="C20" s="7" t="s">
        <v>313</v>
      </c>
      <c r="D20" s="343">
        <v>1636</v>
      </c>
      <c r="E20" s="793"/>
      <c r="F20"/>
      <c r="G20"/>
    </row>
    <row r="21" spans="1:7" s="1" customFormat="1" ht="27.75" customHeight="1">
      <c r="A21" s="121" t="s">
        <v>155</v>
      </c>
      <c r="B21" s="8" t="s">
        <v>315</v>
      </c>
      <c r="C21" s="7" t="s">
        <v>313</v>
      </c>
      <c r="D21" s="343">
        <v>70</v>
      </c>
      <c r="E21"/>
      <c r="F21"/>
      <c r="G21"/>
    </row>
    <row r="22" spans="1:7" s="1" customFormat="1" ht="15" customHeight="1">
      <c r="A22" s="121" t="s">
        <v>156</v>
      </c>
      <c r="B22" s="8" t="s">
        <v>316</v>
      </c>
      <c r="C22" s="7" t="s">
        <v>313</v>
      </c>
      <c r="D22" s="896">
        <v>600</v>
      </c>
      <c r="E22"/>
      <c r="F22"/>
      <c r="G22"/>
    </row>
    <row r="23" spans="1:7" s="1" customFormat="1" ht="15" customHeight="1">
      <c r="A23" s="121" t="s">
        <v>157</v>
      </c>
      <c r="B23" s="8" t="s">
        <v>319</v>
      </c>
      <c r="C23" s="7" t="s">
        <v>313</v>
      </c>
      <c r="D23" s="343">
        <v>4881</v>
      </c>
      <c r="E23"/>
      <c r="F23"/>
      <c r="G23"/>
    </row>
    <row r="24" spans="1:7" s="1" customFormat="1" ht="27.75" customHeight="1">
      <c r="A24" s="121" t="s">
        <v>88</v>
      </c>
      <c r="B24" s="8" t="s">
        <v>320</v>
      </c>
      <c r="C24" s="7" t="s">
        <v>168</v>
      </c>
      <c r="D24" s="343">
        <v>6</v>
      </c>
      <c r="E24"/>
      <c r="F24"/>
      <c r="G24"/>
    </row>
    <row r="25" spans="1:7" s="1" customFormat="1" ht="15" customHeight="1">
      <c r="A25" s="121" t="s">
        <v>89</v>
      </c>
      <c r="B25" s="8" t="s">
        <v>321</v>
      </c>
      <c r="C25" s="7" t="s">
        <v>168</v>
      </c>
      <c r="D25" s="343">
        <v>26</v>
      </c>
      <c r="E25"/>
      <c r="F25"/>
      <c r="G25"/>
    </row>
    <row r="26" spans="1:7" s="1" customFormat="1" ht="15" customHeight="1">
      <c r="A26" s="121" t="s">
        <v>90</v>
      </c>
      <c r="B26" s="8" t="s">
        <v>317</v>
      </c>
      <c r="C26" s="7" t="s">
        <v>318</v>
      </c>
      <c r="D26" s="343">
        <v>1276</v>
      </c>
      <c r="E26"/>
      <c r="F26"/>
      <c r="G26"/>
    </row>
    <row r="27" spans="1:7" s="1" customFormat="1" ht="15" customHeight="1">
      <c r="A27" s="121" t="s">
        <v>91</v>
      </c>
      <c r="B27" s="8" t="s">
        <v>322</v>
      </c>
      <c r="C27" s="7" t="s">
        <v>318</v>
      </c>
      <c r="D27" s="343">
        <v>54</v>
      </c>
      <c r="E27"/>
      <c r="F27"/>
      <c r="G27"/>
    </row>
    <row r="28" spans="1:7" s="1" customFormat="1" ht="15" customHeight="1">
      <c r="A28" s="121" t="s">
        <v>92</v>
      </c>
      <c r="B28" s="8" t="s">
        <v>323</v>
      </c>
      <c r="C28" s="7" t="s">
        <v>318</v>
      </c>
      <c r="D28" s="343">
        <v>2</v>
      </c>
      <c r="E28"/>
      <c r="F28"/>
      <c r="G28"/>
    </row>
    <row r="29" spans="1:7" s="1" customFormat="1" ht="15" customHeight="1">
      <c r="A29" s="121" t="s">
        <v>93</v>
      </c>
      <c r="B29" s="8" t="s">
        <v>186</v>
      </c>
      <c r="C29" s="7" t="s">
        <v>168</v>
      </c>
      <c r="D29" s="343">
        <v>428</v>
      </c>
      <c r="E29"/>
      <c r="F29"/>
      <c r="G29"/>
    </row>
    <row r="30" spans="1:7" s="1" customFormat="1" ht="15" customHeight="1">
      <c r="A30" s="121" t="s">
        <v>94</v>
      </c>
      <c r="B30" s="8" t="s">
        <v>187</v>
      </c>
      <c r="C30" s="7" t="s">
        <v>168</v>
      </c>
      <c r="D30" s="343">
        <v>0</v>
      </c>
      <c r="E30"/>
      <c r="F30"/>
      <c r="G30"/>
    </row>
    <row r="31" spans="1:10" s="1" customFormat="1" ht="27" customHeight="1">
      <c r="A31" s="121" t="s">
        <v>95</v>
      </c>
      <c r="B31" s="8" t="s">
        <v>300</v>
      </c>
      <c r="C31" s="7" t="s">
        <v>279</v>
      </c>
      <c r="D31" s="848" t="s">
        <v>748</v>
      </c>
      <c r="E31"/>
      <c r="F31"/>
      <c r="G31" s="919" t="s">
        <v>747</v>
      </c>
      <c r="H31" s="919"/>
      <c r="I31" s="919"/>
      <c r="J31" s="919"/>
    </row>
    <row r="32" spans="1:7" s="1" customFormat="1" ht="27" customHeight="1">
      <c r="A32" s="121" t="s">
        <v>158</v>
      </c>
      <c r="B32" s="8" t="s">
        <v>412</v>
      </c>
      <c r="C32" s="7" t="s">
        <v>279</v>
      </c>
      <c r="D32" s="344">
        <v>0</v>
      </c>
      <c r="E32"/>
      <c r="F32"/>
      <c r="G32"/>
    </row>
    <row r="33" spans="1:7" s="1" customFormat="1" ht="15" customHeight="1">
      <c r="A33" s="121" t="s">
        <v>159</v>
      </c>
      <c r="B33" s="8" t="s">
        <v>256</v>
      </c>
      <c r="C33" s="7" t="s">
        <v>168</v>
      </c>
      <c r="D33" s="343">
        <v>6</v>
      </c>
      <c r="E33"/>
      <c r="F33"/>
      <c r="G33"/>
    </row>
    <row r="34" spans="1:7" s="1" customFormat="1" ht="15" customHeight="1">
      <c r="A34" s="121" t="s">
        <v>304</v>
      </c>
      <c r="B34" s="8" t="s">
        <v>257</v>
      </c>
      <c r="C34" s="7" t="s">
        <v>168</v>
      </c>
      <c r="D34" s="343">
        <v>9</v>
      </c>
      <c r="E34"/>
      <c r="F34"/>
      <c r="G34"/>
    </row>
    <row r="35" spans="1:7" s="1" customFormat="1" ht="15" customHeight="1">
      <c r="A35" s="121" t="s">
        <v>305</v>
      </c>
      <c r="B35" s="8" t="s">
        <v>406</v>
      </c>
      <c r="C35" s="7" t="s">
        <v>268</v>
      </c>
      <c r="D35" s="897">
        <v>1978</v>
      </c>
      <c r="E35"/>
      <c r="F35"/>
      <c r="G35"/>
    </row>
    <row r="36" spans="1:7" s="1" customFormat="1" ht="15" customHeight="1">
      <c r="A36" s="121" t="s">
        <v>160</v>
      </c>
      <c r="B36" s="8" t="s">
        <v>407</v>
      </c>
      <c r="C36" s="7" t="s">
        <v>268</v>
      </c>
      <c r="D36" s="343"/>
      <c r="E36"/>
      <c r="F36"/>
      <c r="G36"/>
    </row>
    <row r="37" spans="1:7" s="1" customFormat="1" ht="15" customHeight="1">
      <c r="A37" s="121" t="s">
        <v>96</v>
      </c>
      <c r="B37" s="8" t="s">
        <v>408</v>
      </c>
      <c r="C37" s="7" t="s">
        <v>268</v>
      </c>
      <c r="D37" s="343"/>
      <c r="E37"/>
      <c r="F37"/>
      <c r="G37"/>
    </row>
    <row r="38" spans="1:9" s="1" customFormat="1" ht="15" customHeight="1">
      <c r="A38" s="121" t="s">
        <v>97</v>
      </c>
      <c r="B38" s="8" t="s">
        <v>409</v>
      </c>
      <c r="C38" s="7" t="s">
        <v>268</v>
      </c>
      <c r="D38" s="343">
        <v>1490</v>
      </c>
      <c r="E38"/>
      <c r="F38"/>
      <c r="G38" s="918"/>
      <c r="H38" s="918"/>
      <c r="I38" s="918"/>
    </row>
    <row r="39" spans="1:9" s="1" customFormat="1" ht="15" customHeight="1">
      <c r="A39" s="121" t="s">
        <v>98</v>
      </c>
      <c r="B39" s="8" t="s">
        <v>410</v>
      </c>
      <c r="C39" s="7" t="s">
        <v>268</v>
      </c>
      <c r="D39" s="343"/>
      <c r="E39"/>
      <c r="F39"/>
      <c r="G39"/>
      <c r="H39" s="917"/>
      <c r="I39" s="917"/>
    </row>
    <row r="40" spans="1:7" s="1" customFormat="1" ht="15" customHeight="1">
      <c r="A40" s="121" t="s">
        <v>99</v>
      </c>
      <c r="B40" s="8" t="s">
        <v>411</v>
      </c>
      <c r="C40" s="7" t="s">
        <v>268</v>
      </c>
      <c r="D40" s="343"/>
      <c r="E40"/>
      <c r="F40"/>
      <c r="G40"/>
    </row>
    <row r="41" spans="1:7" s="1" customFormat="1" ht="15" customHeight="1">
      <c r="A41" s="121" t="s">
        <v>100</v>
      </c>
      <c r="B41" s="8" t="s">
        <v>405</v>
      </c>
      <c r="C41" s="7" t="s">
        <v>268</v>
      </c>
      <c r="D41" s="343">
        <v>3296</v>
      </c>
      <c r="E41"/>
      <c r="F41"/>
      <c r="G41"/>
    </row>
    <row r="42" spans="1:7" s="1" customFormat="1" ht="15" customHeight="1">
      <c r="A42" s="121" t="s">
        <v>101</v>
      </c>
      <c r="B42" s="9" t="s">
        <v>324</v>
      </c>
      <c r="C42" s="7"/>
      <c r="D42" s="343">
        <v>0</v>
      </c>
      <c r="E42"/>
      <c r="F42"/>
      <c r="G42"/>
    </row>
    <row r="43" spans="1:7" s="1" customFormat="1" ht="15" customHeight="1">
      <c r="A43" s="121" t="s">
        <v>102</v>
      </c>
      <c r="B43" s="8" t="s">
        <v>325</v>
      </c>
      <c r="C43" s="7" t="s">
        <v>268</v>
      </c>
      <c r="D43" s="343">
        <v>0</v>
      </c>
      <c r="E43"/>
      <c r="F43"/>
      <c r="G43"/>
    </row>
    <row r="44" spans="1:7" s="1" customFormat="1" ht="15" customHeight="1">
      <c r="A44" s="121" t="s">
        <v>103</v>
      </c>
      <c r="B44" s="8" t="s">
        <v>326</v>
      </c>
      <c r="C44" s="7" t="s">
        <v>168</v>
      </c>
      <c r="D44" s="343">
        <v>0</v>
      </c>
      <c r="E44"/>
      <c r="F44"/>
      <c r="G44"/>
    </row>
    <row r="45" spans="1:7" s="1" customFormat="1" ht="15" customHeight="1">
      <c r="A45" s="121" t="s">
        <v>306</v>
      </c>
      <c r="B45" s="8" t="s">
        <v>324</v>
      </c>
      <c r="C45" s="7" t="s">
        <v>168</v>
      </c>
      <c r="D45" s="343">
        <v>0</v>
      </c>
      <c r="E45"/>
      <c r="F45"/>
      <c r="G45"/>
    </row>
    <row r="46" spans="1:7" s="1" customFormat="1" ht="15" customHeight="1">
      <c r="A46" s="121" t="s">
        <v>104</v>
      </c>
      <c r="B46" s="8" t="s">
        <v>327</v>
      </c>
      <c r="C46" s="7" t="s">
        <v>330</v>
      </c>
      <c r="D46" s="343">
        <v>0</v>
      </c>
      <c r="E46"/>
      <c r="F46"/>
      <c r="G46"/>
    </row>
    <row r="47" spans="1:7" s="1" customFormat="1" ht="15" customHeight="1">
      <c r="A47" s="121" t="s">
        <v>105</v>
      </c>
      <c r="B47" s="8" t="s">
        <v>328</v>
      </c>
      <c r="C47" s="7" t="s">
        <v>168</v>
      </c>
      <c r="D47" s="343">
        <v>0</v>
      </c>
      <c r="E47"/>
      <c r="F47"/>
      <c r="G47"/>
    </row>
    <row r="48" spans="1:7" s="1" customFormat="1" ht="15" customHeight="1" thickBot="1">
      <c r="A48" s="454" t="s">
        <v>485</v>
      </c>
      <c r="B48" s="455" t="s">
        <v>329</v>
      </c>
      <c r="C48" s="456" t="s">
        <v>168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4">
    <mergeCell ref="B1:C1"/>
    <mergeCell ref="H39:I39"/>
    <mergeCell ref="G38:I38"/>
    <mergeCell ref="G31:J3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8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N39" sqref="N3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26" t="s">
        <v>745</v>
      </c>
      <c r="B1" s="926"/>
      <c r="C1" s="926"/>
      <c r="D1" s="926"/>
      <c r="E1" s="926"/>
      <c r="F1" s="926"/>
      <c r="G1" s="926"/>
      <c r="H1" s="219"/>
      <c r="I1" s="219"/>
      <c r="J1" s="219"/>
      <c r="K1" s="219"/>
      <c r="L1" s="222" t="s">
        <v>147</v>
      </c>
      <c r="M1" s="219"/>
    </row>
    <row r="2" spans="1:13" ht="13.5" thickBot="1">
      <c r="A2" s="130" t="s">
        <v>429</v>
      </c>
      <c r="M2" s="26" t="s">
        <v>56</v>
      </c>
    </row>
    <row r="3" spans="1:13" ht="29.25" customHeight="1">
      <c r="A3" s="927" t="s">
        <v>0</v>
      </c>
      <c r="B3" s="929" t="s">
        <v>108</v>
      </c>
      <c r="C3" s="920" t="s">
        <v>428</v>
      </c>
      <c r="D3" s="920"/>
      <c r="E3" s="920"/>
      <c r="F3" s="920"/>
      <c r="G3" s="921"/>
      <c r="H3" s="922" t="s">
        <v>162</v>
      </c>
      <c r="I3" s="923"/>
      <c r="J3" s="923"/>
      <c r="K3" s="923"/>
      <c r="L3" s="924"/>
      <c r="M3" s="107"/>
    </row>
    <row r="4" spans="1:16" s="2" customFormat="1" ht="51">
      <c r="A4" s="928"/>
      <c r="B4" s="930"/>
      <c r="C4" s="7" t="s">
        <v>4</v>
      </c>
      <c r="D4" s="7" t="s">
        <v>474</v>
      </c>
      <c r="E4" s="7" t="s">
        <v>298</v>
      </c>
      <c r="F4" s="7" t="s">
        <v>287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  <c r="P4" s="2" t="s">
        <v>740</v>
      </c>
    </row>
    <row r="5" spans="1:14" s="2" customFormat="1" ht="15" customHeight="1" thickBot="1">
      <c r="A5" s="546"/>
      <c r="B5" s="456"/>
      <c r="C5" s="456"/>
      <c r="D5" s="456" t="s">
        <v>268</v>
      </c>
      <c r="E5" s="456" t="s">
        <v>268</v>
      </c>
      <c r="F5" s="456" t="s">
        <v>285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268</v>
      </c>
      <c r="C7" s="721"/>
      <c r="D7" s="722">
        <f>'Исход дан'!D11</f>
        <v>11325.5</v>
      </c>
      <c r="E7" s="723"/>
      <c r="F7" s="723"/>
      <c r="G7" s="488"/>
      <c r="H7" s="237"/>
      <c r="I7" s="9">
        <f>D7</f>
        <v>11325.5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422</v>
      </c>
      <c r="B9" s="17" t="s">
        <v>268</v>
      </c>
      <c r="C9" s="477" t="s">
        <v>288</v>
      </c>
      <c r="D9" s="558">
        <f>'Исход дан'!D9</f>
        <v>813.2</v>
      </c>
      <c r="E9" s="221">
        <v>790</v>
      </c>
      <c r="F9" s="684">
        <f>D9/E9</f>
        <v>1.029367088607595</v>
      </c>
      <c r="G9" s="702"/>
      <c r="H9" s="263"/>
      <c r="I9" s="7">
        <f>D9</f>
        <v>813.2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373</v>
      </c>
      <c r="B10" s="459"/>
      <c r="C10" s="492" t="s">
        <v>288</v>
      </c>
      <c r="D10" s="250" t="s">
        <v>288</v>
      </c>
      <c r="E10" s="250" t="s">
        <v>288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420</v>
      </c>
      <c r="B11" s="460" t="s">
        <v>285</v>
      </c>
      <c r="C11" s="724"/>
      <c r="D11" s="725"/>
      <c r="E11" s="725"/>
      <c r="F11" s="726">
        <f>F9*F10</f>
        <v>1.1528911392405066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375</v>
      </c>
      <c r="B12" s="112" t="s">
        <v>289</v>
      </c>
      <c r="C12" s="791">
        <f>3500*1.25*1.06*1.06</f>
        <v>4915.75</v>
      </c>
      <c r="D12" s="493" t="s">
        <v>288</v>
      </c>
      <c r="E12" s="493" t="s">
        <v>288</v>
      </c>
      <c r="F12" s="683">
        <f>F11</f>
        <v>1.1528911392405066</v>
      </c>
      <c r="G12" s="704">
        <f>C12*F12*12</f>
        <v>68007.89541265825</v>
      </c>
      <c r="H12" s="263">
        <f>C12</f>
        <v>4915.75</v>
      </c>
      <c r="I12" s="86">
        <f>I9</f>
        <v>813.2</v>
      </c>
      <c r="J12" s="7">
        <v>377.66</v>
      </c>
      <c r="K12" s="82">
        <f>I12*J12/100</f>
        <v>3071.13112</v>
      </c>
      <c r="L12" s="99">
        <f>K12*12</f>
        <v>36853.57344</v>
      </c>
      <c r="M12" s="109">
        <f aca="true" t="shared" si="0" ref="M12:M19">G12-L12</f>
        <v>31154.321972658254</v>
      </c>
      <c r="N12" s="925"/>
      <c r="O12" s="918"/>
      <c r="P12" s="918"/>
    </row>
    <row r="13" spans="1:16" s="1" customFormat="1" ht="15" customHeight="1">
      <c r="A13" s="88" t="s">
        <v>5</v>
      </c>
      <c r="B13" s="17" t="s">
        <v>195</v>
      </c>
      <c r="C13" s="727">
        <v>0.14</v>
      </c>
      <c r="D13" s="221" t="s">
        <v>288</v>
      </c>
      <c r="E13" s="221" t="s">
        <v>288</v>
      </c>
      <c r="F13" s="221" t="s">
        <v>288</v>
      </c>
      <c r="G13" s="705">
        <f>G12*14/100</f>
        <v>9521.105357772156</v>
      </c>
      <c r="H13" s="264">
        <f>C13</f>
        <v>0.14</v>
      </c>
      <c r="I13" s="7"/>
      <c r="J13" s="7">
        <v>188.83</v>
      </c>
      <c r="K13" s="82">
        <f>I12*J13/100</f>
        <v>1535.56556</v>
      </c>
      <c r="L13" s="99">
        <f>K13*12</f>
        <v>18426.78672</v>
      </c>
      <c r="M13" s="109">
        <f t="shared" si="0"/>
        <v>-8905.681362227844</v>
      </c>
      <c r="N13"/>
      <c r="P13" s="1" t="s">
        <v>732</v>
      </c>
    </row>
    <row r="14" spans="1:16" s="4" customFormat="1" ht="15" customHeight="1">
      <c r="A14" s="376" t="s">
        <v>10</v>
      </c>
      <c r="B14" s="467" t="s">
        <v>427</v>
      </c>
      <c r="C14" s="478" t="s">
        <v>288</v>
      </c>
      <c r="D14" s="476" t="s">
        <v>288</v>
      </c>
      <c r="E14" s="476" t="s">
        <v>288</v>
      </c>
      <c r="F14" s="476" t="s">
        <v>288</v>
      </c>
      <c r="G14" s="490">
        <f>G12+G13</f>
        <v>77529.00077043042</v>
      </c>
      <c r="H14" s="237"/>
      <c r="I14" s="9"/>
      <c r="J14" s="9">
        <f>J12+J13</f>
        <v>566.49</v>
      </c>
      <c r="K14" s="87">
        <f>SUM(K12:K13)</f>
        <v>4606.69668</v>
      </c>
      <c r="L14" s="100">
        <f>SUM(L12:L13)</f>
        <v>55280.36016</v>
      </c>
      <c r="M14" s="109">
        <f t="shared" si="0"/>
        <v>22248.64061043042</v>
      </c>
      <c r="N14" s="872">
        <f>G14/12/11325.5</f>
        <v>0.570460470990467</v>
      </c>
      <c r="O14" s="5" t="s">
        <v>778</v>
      </c>
      <c r="P14" s="906">
        <f>N14+N36</f>
        <v>1.317595890124904</v>
      </c>
    </row>
    <row r="15" spans="1:16" s="253" customFormat="1" ht="15" customHeight="1">
      <c r="A15" s="89" t="s">
        <v>12</v>
      </c>
      <c r="B15" s="461" t="s">
        <v>195</v>
      </c>
      <c r="C15" s="728">
        <v>0.202</v>
      </c>
      <c r="D15" s="221" t="s">
        <v>288</v>
      </c>
      <c r="E15" s="221" t="s">
        <v>288</v>
      </c>
      <c r="F15" s="221" t="s">
        <v>288</v>
      </c>
      <c r="G15" s="705">
        <f>G14*C15</f>
        <v>15660.858155626946</v>
      </c>
      <c r="H15" s="320">
        <v>0.262</v>
      </c>
      <c r="I15" s="153"/>
      <c r="J15" s="153">
        <v>148.42</v>
      </c>
      <c r="K15" s="319">
        <f>I12*J15/100</f>
        <v>1206.95144</v>
      </c>
      <c r="L15" s="321">
        <f>K15*12</f>
        <v>14483.417280000001</v>
      </c>
      <c r="M15" s="322">
        <f t="shared" si="0"/>
        <v>1177.440875626944</v>
      </c>
      <c r="N15" s="872">
        <f>G15/12/11325.5</f>
        <v>0.11523301514007436</v>
      </c>
      <c r="O15" s="364" t="s">
        <v>779</v>
      </c>
      <c r="P15" s="907">
        <f>N15+N37</f>
        <v>0.26615436980523066</v>
      </c>
    </row>
    <row r="16" spans="1:16" s="253" customFormat="1" ht="15" customHeight="1">
      <c r="A16" s="89" t="s">
        <v>6</v>
      </c>
      <c r="B16" s="438" t="s">
        <v>297</v>
      </c>
      <c r="C16" s="729">
        <f>'спец инв'!H13</f>
        <v>561.3232</v>
      </c>
      <c r="D16" s="221" t="s">
        <v>288</v>
      </c>
      <c r="E16" s="221" t="s">
        <v>288</v>
      </c>
      <c r="F16" s="701">
        <f>F11</f>
        <v>1.1528911392405066</v>
      </c>
      <c r="G16" s="519">
        <f>C16*F16</f>
        <v>647.1445435301267</v>
      </c>
      <c r="H16" s="245">
        <v>14.51</v>
      </c>
      <c r="I16" s="153"/>
      <c r="J16" s="153">
        <v>2.63</v>
      </c>
      <c r="K16" s="323">
        <f>J16*I12/100</f>
        <v>21.387159999999998</v>
      </c>
      <c r="L16" s="321">
        <f>K16*12</f>
        <v>256.64592</v>
      </c>
      <c r="M16" s="322">
        <f t="shared" si="0"/>
        <v>390.49862353012674</v>
      </c>
      <c r="N16" s="901">
        <f>SUM(G16:G18)/12/11325.5</f>
        <v>0.03527504196952213</v>
      </c>
      <c r="O16" s="364" t="s">
        <v>651</v>
      </c>
      <c r="P16" s="907">
        <f>N16+N38</f>
        <v>0.12830920697113538</v>
      </c>
    </row>
    <row r="17" spans="1:14" s="253" customFormat="1" ht="15" customHeight="1">
      <c r="A17" s="89" t="s">
        <v>286</v>
      </c>
      <c r="B17" s="438" t="s">
        <v>297</v>
      </c>
      <c r="C17" s="729">
        <f>'спец инв'!H43</f>
        <v>2251.175</v>
      </c>
      <c r="D17" s="221" t="s">
        <v>288</v>
      </c>
      <c r="E17" s="221" t="s">
        <v>288</v>
      </c>
      <c r="F17" s="701">
        <f>F11</f>
        <v>1.1528911392405066</v>
      </c>
      <c r="G17" s="519">
        <f>C17*F17</f>
        <v>2595.3597103797474</v>
      </c>
      <c r="H17" s="245">
        <v>21.86</v>
      </c>
      <c r="I17" s="153"/>
      <c r="J17" s="153">
        <v>6.59</v>
      </c>
      <c r="K17" s="323">
        <f>I12*J17/100</f>
        <v>53.58988</v>
      </c>
      <c r="L17" s="321">
        <f>K17*12</f>
        <v>643.07856</v>
      </c>
      <c r="M17" s="322">
        <f t="shared" si="0"/>
        <v>1952.2811503797475</v>
      </c>
      <c r="N17" s="31"/>
    </row>
    <row r="18" spans="1:14" s="253" customFormat="1" ht="15" customHeight="1" thickBot="1">
      <c r="A18" s="367" t="s">
        <v>284</v>
      </c>
      <c r="B18" s="462" t="s">
        <v>290</v>
      </c>
      <c r="C18" s="729">
        <f>'спец инв'!H44</f>
        <v>1.9080000000000001</v>
      </c>
      <c r="D18" s="250">
        <f>D9</f>
        <v>813.2</v>
      </c>
      <c r="E18" s="250" t="s">
        <v>288</v>
      </c>
      <c r="F18" s="448" t="s">
        <v>288</v>
      </c>
      <c r="G18" s="706">
        <f>C18*D18</f>
        <v>1551.5856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374</v>
      </c>
      <c r="B19" s="463"/>
      <c r="C19" s="479" t="s">
        <v>288</v>
      </c>
      <c r="D19" s="486" t="s">
        <v>288</v>
      </c>
      <c r="E19" s="486" t="s">
        <v>288</v>
      </c>
      <c r="F19" s="486" t="s">
        <v>288</v>
      </c>
      <c r="G19" s="707">
        <f>G14+G15+G16+G17+G18</f>
        <v>97983.94877996725</v>
      </c>
      <c r="H19" s="266"/>
      <c r="I19" s="119"/>
      <c r="J19" s="186">
        <f>SUM(J14:J18)</f>
        <v>724.13</v>
      </c>
      <c r="K19" s="186">
        <f>SUM(K14:K18)</f>
        <v>5888.6251600000005</v>
      </c>
      <c r="L19" s="187">
        <f>SUM(L14:L18)</f>
        <v>70663.50192</v>
      </c>
      <c r="M19" s="175">
        <f t="shared" si="0"/>
        <v>27320.446859967255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163</v>
      </c>
      <c r="I20" s="18"/>
      <c r="J20" s="7" t="s">
        <v>161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425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413</v>
      </c>
      <c r="B22" s="464"/>
      <c r="C22" s="477" t="s">
        <v>288</v>
      </c>
      <c r="D22" s="449">
        <f>'Исход дан'!D35</f>
        <v>1978</v>
      </c>
      <c r="E22" s="449">
        <v>3630</v>
      </c>
      <c r="F22" s="684">
        <f>D22/E22</f>
        <v>0.5449035812672176</v>
      </c>
      <c r="G22" s="709"/>
      <c r="H22" s="267">
        <v>6.5</v>
      </c>
      <c r="I22" s="225">
        <f>D22</f>
        <v>1978</v>
      </c>
      <c r="J22" s="225">
        <v>215.67</v>
      </c>
      <c r="K22" s="226">
        <f>J22*I22/100</f>
        <v>4265.9526</v>
      </c>
      <c r="L22" s="229">
        <f>K22*H22</f>
        <v>27728.691899999998</v>
      </c>
      <c r="M22" s="227"/>
      <c r="N22"/>
    </row>
    <row r="23" spans="1:16" s="1" customFormat="1" ht="15" customHeight="1">
      <c r="A23" s="443" t="s">
        <v>414</v>
      </c>
      <c r="B23" s="464"/>
      <c r="C23" s="477" t="s">
        <v>288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1978</v>
      </c>
      <c r="J23" s="223">
        <v>650.95</v>
      </c>
      <c r="K23" s="224">
        <f>J23*I23/100</f>
        <v>12875.791000000001</v>
      </c>
      <c r="L23" s="230">
        <f>K23*H23</f>
        <v>70816.8505</v>
      </c>
      <c r="M23" s="228"/>
      <c r="N23"/>
      <c r="P23" s="1" t="s">
        <v>424</v>
      </c>
    </row>
    <row r="24" spans="1:14" s="1" customFormat="1" ht="15" customHeight="1">
      <c r="A24" s="443" t="s">
        <v>415</v>
      </c>
      <c r="B24" s="464"/>
      <c r="C24" s="477" t="s">
        <v>288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416</v>
      </c>
      <c r="B26" s="464"/>
      <c r="C26" s="477" t="s">
        <v>288</v>
      </c>
      <c r="D26" s="449">
        <f>'Исход дан'!D38</f>
        <v>1490</v>
      </c>
      <c r="E26" s="449">
        <v>2340</v>
      </c>
      <c r="F26" s="684">
        <f>D26/E26</f>
        <v>0.6367521367521367</v>
      </c>
      <c r="G26" s="709"/>
      <c r="H26" s="267">
        <v>6.5</v>
      </c>
      <c r="I26" s="225">
        <f>D26</f>
        <v>1490</v>
      </c>
      <c r="J26" s="225">
        <v>279.99</v>
      </c>
      <c r="K26" s="226">
        <f>J26*I26/100</f>
        <v>4171.851000000001</v>
      </c>
      <c r="L26" s="229">
        <f>K26*H26</f>
        <v>27117.031500000005</v>
      </c>
      <c r="M26" s="227"/>
      <c r="N26"/>
    </row>
    <row r="27" spans="1:14" s="1" customFormat="1" ht="15" customHeight="1">
      <c r="A27" s="443" t="s">
        <v>417</v>
      </c>
      <c r="B27" s="464"/>
      <c r="C27" s="477" t="s">
        <v>288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1490</v>
      </c>
      <c r="J27" s="223">
        <v>931.98</v>
      </c>
      <c r="K27" s="224">
        <f>J27*I27/100</f>
        <v>13886.502</v>
      </c>
      <c r="L27" s="230">
        <f>K27*H27</f>
        <v>76375.761</v>
      </c>
      <c r="M27" s="228"/>
      <c r="N27"/>
    </row>
    <row r="28" spans="1:14" s="1" customFormat="1" ht="15" customHeight="1">
      <c r="A28" s="443" t="s">
        <v>418</v>
      </c>
      <c r="B28" s="464"/>
      <c r="C28" s="477" t="s">
        <v>288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419</v>
      </c>
      <c r="B30" s="464"/>
      <c r="C30" s="477" t="s">
        <v>288</v>
      </c>
      <c r="D30" s="449">
        <f>'Исход дан'!D41</f>
        <v>3296</v>
      </c>
      <c r="E30" s="449">
        <v>30000</v>
      </c>
      <c r="F30" s="684">
        <f>D30/E30</f>
        <v>0.10986666666666667</v>
      </c>
      <c r="G30" s="709"/>
      <c r="H30" s="267">
        <v>6.5</v>
      </c>
      <c r="I30" s="225">
        <f>D30</f>
        <v>3296</v>
      </c>
      <c r="J30" s="225">
        <v>77.76</v>
      </c>
      <c r="K30" s="226">
        <f>J30*I30/100</f>
        <v>2562.9696000000004</v>
      </c>
      <c r="L30" s="229">
        <f>K30*H30</f>
        <v>16659.3024</v>
      </c>
      <c r="M30" s="227"/>
      <c r="N30"/>
    </row>
    <row r="31" spans="1:14" s="5" customFormat="1" ht="15" customHeight="1">
      <c r="A31" s="444" t="s">
        <v>423</v>
      </c>
      <c r="B31" s="465" t="s">
        <v>285</v>
      </c>
      <c r="C31" s="477" t="s">
        <v>288</v>
      </c>
      <c r="D31" s="221" t="s">
        <v>288</v>
      </c>
      <c r="E31" s="221" t="s">
        <v>288</v>
      </c>
      <c r="F31" s="731">
        <f>F22+F23+F24+F26+F27+F28+F30</f>
        <v>1.2915223846860209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368</v>
      </c>
      <c r="B32" s="466"/>
      <c r="C32" s="477" t="s">
        <v>288</v>
      </c>
      <c r="D32" s="221" t="s">
        <v>288</v>
      </c>
      <c r="E32" s="221" t="s">
        <v>288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421</v>
      </c>
      <c r="B33" s="460"/>
      <c r="C33" s="480" t="s">
        <v>288</v>
      </c>
      <c r="D33" s="450" t="s">
        <v>288</v>
      </c>
      <c r="E33" s="450" t="s">
        <v>288</v>
      </c>
      <c r="F33" s="559">
        <f>F31*F32</f>
        <v>1.4465050708483436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375</v>
      </c>
      <c r="B34" s="112" t="s">
        <v>291</v>
      </c>
      <c r="C34" s="791">
        <f>3500*1.06*1.25*1.06</f>
        <v>4915.75</v>
      </c>
      <c r="D34" s="221" t="s">
        <v>288</v>
      </c>
      <c r="E34" s="221" t="s">
        <v>288</v>
      </c>
      <c r="F34" s="683">
        <f>F33</f>
        <v>1.4465050708483436</v>
      </c>
      <c r="G34" s="711">
        <f>C34*F34*12</f>
        <v>85327.88762427295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195</v>
      </c>
      <c r="C35" s="482">
        <v>0.19</v>
      </c>
      <c r="D35" s="221" t="s">
        <v>288</v>
      </c>
      <c r="E35" s="221" t="s">
        <v>288</v>
      </c>
      <c r="F35" s="221" t="s">
        <v>288</v>
      </c>
      <c r="G35" s="712">
        <f>G34*C35</f>
        <v>16212.29864861186</v>
      </c>
      <c r="H35" s="271">
        <v>0.5</v>
      </c>
      <c r="I35" s="12"/>
      <c r="J35" s="12"/>
      <c r="K35" s="94"/>
      <c r="L35" s="106"/>
      <c r="M35" s="178"/>
    </row>
    <row r="36" spans="1:15" s="5" customFormat="1" ht="15" customHeight="1" thickBot="1">
      <c r="A36" s="376" t="s">
        <v>10</v>
      </c>
      <c r="B36" s="467" t="s">
        <v>427</v>
      </c>
      <c r="C36" s="478" t="s">
        <v>288</v>
      </c>
      <c r="D36" s="476" t="s">
        <v>288</v>
      </c>
      <c r="E36" s="476" t="s">
        <v>288</v>
      </c>
      <c r="F36" s="476" t="s">
        <v>288</v>
      </c>
      <c r="G36" s="490">
        <f>G34+G35</f>
        <v>101540.1862728848</v>
      </c>
      <c r="H36" s="272"/>
      <c r="I36" s="116"/>
      <c r="J36" s="116"/>
      <c r="K36" s="176"/>
      <c r="L36" s="180"/>
      <c r="M36" s="181"/>
      <c r="N36" s="872">
        <f>G36/12/11325.5</f>
        <v>0.747135419134437</v>
      </c>
      <c r="O36" s="5" t="s">
        <v>778</v>
      </c>
    </row>
    <row r="37" spans="1:15" s="22" customFormat="1" ht="15" customHeight="1" thickBot="1">
      <c r="A37" s="445" t="s">
        <v>13</v>
      </c>
      <c r="B37" s="466" t="s">
        <v>195</v>
      </c>
      <c r="C37" s="483">
        <v>0.202</v>
      </c>
      <c r="D37" s="221" t="s">
        <v>288</v>
      </c>
      <c r="E37" s="221" t="s">
        <v>288</v>
      </c>
      <c r="F37" s="221" t="s">
        <v>288</v>
      </c>
      <c r="G37" s="713">
        <f>G36*C37</f>
        <v>20511.11762712273</v>
      </c>
      <c r="H37" s="335">
        <v>0.262</v>
      </c>
      <c r="I37" s="333"/>
      <c r="J37" s="333"/>
      <c r="K37" s="334"/>
      <c r="L37" s="336"/>
      <c r="M37" s="337"/>
      <c r="N37" s="872">
        <f>G37/12/11325.5</f>
        <v>0.1509213546651563</v>
      </c>
      <c r="O37" s="364" t="s">
        <v>779</v>
      </c>
    </row>
    <row r="38" spans="1:15" s="22" customFormat="1" ht="15" customHeight="1" thickBot="1">
      <c r="A38" s="445" t="s">
        <v>292</v>
      </c>
      <c r="B38" s="438" t="s">
        <v>297</v>
      </c>
      <c r="C38" s="729">
        <f>'спец инв'!H22</f>
        <v>1246.242</v>
      </c>
      <c r="D38" s="449" t="s">
        <v>288</v>
      </c>
      <c r="E38" s="449" t="s">
        <v>288</v>
      </c>
      <c r="F38" s="684">
        <f>F33</f>
        <v>1.4465050708483436</v>
      </c>
      <c r="G38" s="714">
        <f>C38*F38</f>
        <v>1802.6953725041813</v>
      </c>
      <c r="H38" s="328"/>
      <c r="I38" s="327"/>
      <c r="J38" s="327"/>
      <c r="K38" s="327"/>
      <c r="L38" s="325"/>
      <c r="M38" s="329"/>
      <c r="N38" s="902">
        <f>SUM(G38:G41)/12/11325.5</f>
        <v>0.09303416500161325</v>
      </c>
      <c r="O38" s="364" t="s">
        <v>651</v>
      </c>
    </row>
    <row r="39" spans="1:13" s="22" customFormat="1" ht="15" customHeight="1" thickBot="1">
      <c r="A39" s="445" t="s">
        <v>293</v>
      </c>
      <c r="B39" s="438" t="s">
        <v>297</v>
      </c>
      <c r="C39" s="729">
        <f>'спец инв'!H69</f>
        <v>2813.9908333333333</v>
      </c>
      <c r="D39" s="449" t="s">
        <v>288</v>
      </c>
      <c r="E39" s="449" t="s">
        <v>288</v>
      </c>
      <c r="F39" s="684">
        <f>F33</f>
        <v>1.4465050708483436</v>
      </c>
      <c r="G39" s="714">
        <f>C39*F39</f>
        <v>4070.4520097374225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294</v>
      </c>
      <c r="B40" s="438" t="s">
        <v>297</v>
      </c>
      <c r="C40" s="729">
        <f>'спец инв'!H56</f>
        <v>2528.20865</v>
      </c>
      <c r="D40" s="449" t="s">
        <v>288</v>
      </c>
      <c r="E40" s="449" t="s">
        <v>288</v>
      </c>
      <c r="F40" s="684">
        <f>F33</f>
        <v>1.4465050708483436</v>
      </c>
      <c r="G40" s="714">
        <f>C40*F40</f>
        <v>3657.0666323876453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295</v>
      </c>
      <c r="B41" s="438" t="s">
        <v>400</v>
      </c>
      <c r="C41" s="484" t="s">
        <v>288</v>
      </c>
      <c r="D41" s="449" t="s">
        <v>288</v>
      </c>
      <c r="E41" s="449" t="s">
        <v>288</v>
      </c>
      <c r="F41" s="449" t="s">
        <v>288</v>
      </c>
      <c r="G41" s="714">
        <f>'спец инв'!K71</f>
        <v>3113.6872140800006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378</v>
      </c>
      <c r="B42" s="463"/>
      <c r="C42" s="479" t="s">
        <v>288</v>
      </c>
      <c r="D42" s="486" t="s">
        <v>288</v>
      </c>
      <c r="E42" s="486" t="s">
        <v>288</v>
      </c>
      <c r="F42" s="486" t="s">
        <v>288</v>
      </c>
      <c r="G42" s="715">
        <f>G36+G37+G38+G39+G40+G41</f>
        <v>134695.2051287168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379</v>
      </c>
      <c r="B44" s="17"/>
      <c r="C44" s="449" t="s">
        <v>288</v>
      </c>
      <c r="D44" s="221">
        <f>'Исход дан'!D7</f>
        <v>659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369</v>
      </c>
      <c r="B45" s="17"/>
      <c r="C45" s="449" t="s">
        <v>288</v>
      </c>
      <c r="D45" s="449" t="s">
        <v>288</v>
      </c>
      <c r="E45" s="449" t="s">
        <v>288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426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375</v>
      </c>
      <c r="B47" s="17" t="s">
        <v>291</v>
      </c>
      <c r="C47" s="477"/>
      <c r="D47" s="221" t="s">
        <v>288</v>
      </c>
      <c r="E47" s="221" t="s">
        <v>288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195</v>
      </c>
      <c r="C48" s="727"/>
      <c r="D48" s="221" t="s">
        <v>288</v>
      </c>
      <c r="E48" s="221" t="s">
        <v>288</v>
      </c>
      <c r="F48" s="221" t="s">
        <v>288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427</v>
      </c>
      <c r="C49" s="478" t="s">
        <v>288</v>
      </c>
      <c r="D49" s="476" t="s">
        <v>288</v>
      </c>
      <c r="E49" s="476" t="s">
        <v>288</v>
      </c>
      <c r="F49" s="476" t="s">
        <v>288</v>
      </c>
      <c r="G49" s="490" t="e">
        <f>G47+G48</f>
        <v>#DIV/0!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 t="e">
        <f t="shared" si="1"/>
        <v>#DIV/0!</v>
      </c>
      <c r="N49"/>
    </row>
    <row r="50" spans="1:14" s="1" customFormat="1" ht="15" customHeight="1">
      <c r="A50" s="88" t="s">
        <v>12</v>
      </c>
      <c r="B50" s="17" t="s">
        <v>195</v>
      </c>
      <c r="C50" s="728"/>
      <c r="D50" s="221" t="s">
        <v>288</v>
      </c>
      <c r="E50" s="221" t="s">
        <v>288</v>
      </c>
      <c r="F50" s="221" t="s">
        <v>288</v>
      </c>
      <c r="G50" s="705" t="e">
        <f>G49*C50</f>
        <v>#DIV/0!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 t="e">
        <f t="shared" si="1"/>
        <v>#DIV/0!</v>
      </c>
      <c r="N50"/>
    </row>
    <row r="51" spans="1:14" s="33" customFormat="1" ht="15" customHeight="1">
      <c r="A51" s="90" t="s">
        <v>6</v>
      </c>
      <c r="B51" s="438" t="s">
        <v>297</v>
      </c>
      <c r="C51" s="729">
        <f>'спец инв'!H30</f>
        <v>0</v>
      </c>
      <c r="D51" s="451" t="s">
        <v>288</v>
      </c>
      <c r="E51" s="451" t="s">
        <v>288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297</v>
      </c>
      <c r="C52" s="737">
        <f>'спец инв'!H79</f>
        <v>0</v>
      </c>
      <c r="D52" s="451" t="s">
        <v>288</v>
      </c>
      <c r="E52" s="451" t="s">
        <v>288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288</v>
      </c>
      <c r="D53" s="451" t="s">
        <v>288</v>
      </c>
      <c r="E53" s="451" t="s">
        <v>288</v>
      </c>
      <c r="F53" s="221" t="s">
        <v>288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376</v>
      </c>
      <c r="B54" s="463"/>
      <c r="C54" s="479" t="s">
        <v>288</v>
      </c>
      <c r="D54" s="486" t="s">
        <v>288</v>
      </c>
      <c r="E54" s="486" t="s">
        <v>288</v>
      </c>
      <c r="F54" s="486" t="s">
        <v>288</v>
      </c>
      <c r="G54" s="717" t="e">
        <f>G49+G50+G51+G52+G53</f>
        <v>#DIV/0!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 t="e">
        <f t="shared" si="1"/>
        <v>#DIV/0!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288</v>
      </c>
      <c r="D55" s="451" t="s">
        <v>288</v>
      </c>
      <c r="E55" s="451" t="s">
        <v>288</v>
      </c>
      <c r="F55" s="221" t="s">
        <v>288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288</v>
      </c>
      <c r="D56" s="451" t="s">
        <v>288</v>
      </c>
      <c r="E56" s="451" t="s">
        <v>288</v>
      </c>
      <c r="F56" s="250" t="s">
        <v>288</v>
      </c>
      <c r="G56" s="706">
        <f>'спец инв'!K97</f>
        <v>1620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288</v>
      </c>
      <c r="D57" s="458" t="s">
        <v>288</v>
      </c>
      <c r="E57" s="458" t="s">
        <v>288</v>
      </c>
      <c r="F57" s="221" t="s">
        <v>288</v>
      </c>
      <c r="G57" s="519">
        <f>'спец инв'!K98</f>
        <v>240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502</v>
      </c>
      <c r="B58" s="472"/>
      <c r="C58" s="739"/>
      <c r="D58" s="458"/>
      <c r="E58" s="458"/>
      <c r="F58" s="221"/>
      <c r="G58" s="519">
        <v>36148.3</v>
      </c>
      <c r="H58" s="361"/>
      <c r="I58" s="359"/>
      <c r="J58" s="359"/>
      <c r="K58" s="360"/>
      <c r="L58" s="362"/>
      <c r="M58" s="363"/>
      <c r="N58" s="364"/>
      <c r="P58" s="22">
        <v>5666.93</v>
      </c>
    </row>
    <row r="59" spans="1:16" s="21" customFormat="1" ht="29.25" customHeight="1" thickBot="1">
      <c r="A59" s="457" t="s">
        <v>377</v>
      </c>
      <c r="B59" s="467" t="s">
        <v>427</v>
      </c>
      <c r="C59" s="485" t="s">
        <v>288</v>
      </c>
      <c r="D59" s="487" t="s">
        <v>288</v>
      </c>
      <c r="E59" s="487" t="s">
        <v>288</v>
      </c>
      <c r="F59" s="487" t="s">
        <v>288</v>
      </c>
      <c r="G59" s="719">
        <f>G55+G56+G57+G58</f>
        <v>38054.368</v>
      </c>
      <c r="H59" s="361"/>
      <c r="I59" s="359"/>
      <c r="J59" s="359"/>
      <c r="K59" s="360"/>
      <c r="L59" s="362"/>
      <c r="M59" s="363"/>
      <c r="N59" s="364"/>
      <c r="P59" s="22"/>
    </row>
    <row r="60" spans="1:14" s="5" customFormat="1" ht="31.5" customHeight="1" thickBot="1">
      <c r="A60" s="375" t="s">
        <v>380</v>
      </c>
      <c r="B60" s="473"/>
      <c r="C60" s="740" t="s">
        <v>288</v>
      </c>
      <c r="D60" s="496" t="s">
        <v>288</v>
      </c>
      <c r="E60" s="496" t="s">
        <v>288</v>
      </c>
      <c r="F60" s="497" t="s">
        <v>288</v>
      </c>
      <c r="G60" s="720">
        <f>G19+G42+G59</f>
        <v>270733.52190868405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 s="900">
        <f>268393.54-G60</f>
        <v>-2339.9819086840726</v>
      </c>
    </row>
    <row r="61" spans="1:14" s="91" customFormat="1" ht="30.75" customHeight="1" thickBot="1">
      <c r="A61" s="494" t="s">
        <v>59</v>
      </c>
      <c r="B61" s="495"/>
      <c r="C61" s="741" t="s">
        <v>288</v>
      </c>
      <c r="D61" s="498" t="s">
        <v>288</v>
      </c>
      <c r="E61" s="498" t="s">
        <v>288</v>
      </c>
      <c r="F61" s="499" t="s">
        <v>288</v>
      </c>
      <c r="G61" s="685">
        <f>G60/D7/12</f>
        <v>1.992064529223758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L8" sqref="L8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16" t="s">
        <v>749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430</v>
      </c>
    </row>
    <row r="3" spans="1:132" s="2" customFormat="1" ht="84" customHeight="1">
      <c r="A3" s="935" t="s">
        <v>0</v>
      </c>
      <c r="B3" s="156" t="s">
        <v>111</v>
      </c>
      <c r="C3" s="931" t="s">
        <v>2</v>
      </c>
      <c r="D3" s="931"/>
      <c r="E3" s="931" t="s">
        <v>261</v>
      </c>
      <c r="F3" s="41" t="s">
        <v>381</v>
      </c>
      <c r="G3" s="126" t="s">
        <v>282</v>
      </c>
      <c r="H3" s="204" t="s">
        <v>281</v>
      </c>
      <c r="I3" s="933" t="s">
        <v>43</v>
      </c>
      <c r="J3" s="934"/>
      <c r="K3" s="204" t="s">
        <v>283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36"/>
      <c r="B4" s="157"/>
      <c r="C4" s="530" t="s">
        <v>262</v>
      </c>
      <c r="D4" s="530" t="s">
        <v>14</v>
      </c>
      <c r="E4" s="932"/>
      <c r="F4" s="530" t="s">
        <v>391</v>
      </c>
      <c r="G4" s="531" t="s">
        <v>363</v>
      </c>
      <c r="H4" s="532" t="s">
        <v>392</v>
      </c>
      <c r="I4" s="533" t="s">
        <v>480</v>
      </c>
      <c r="J4" s="531" t="s">
        <v>393</v>
      </c>
      <c r="K4" s="532" t="s">
        <v>394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1.1528911392405066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903">
        <f>264.8*1.059</f>
        <v>280.4232</v>
      </c>
      <c r="H9" s="206">
        <f>F9*G9</f>
        <v>280.4232</v>
      </c>
      <c r="I9" s="286">
        <f>I7</f>
        <v>1.1528911392405066</v>
      </c>
      <c r="J9" s="412">
        <f>F9*I9</f>
        <v>1.1528911392405066</v>
      </c>
      <c r="K9" s="206">
        <f>H9*I9</f>
        <v>323.2974225174684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1.1528911392405066</v>
      </c>
      <c r="J10" s="412">
        <f>F10*I10</f>
        <v>6.917346835443039</v>
      </c>
      <c r="K10" s="206">
        <f>H10*I10</f>
        <v>194.30827260759497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1.1528911392405066</v>
      </c>
      <c r="J11" s="412">
        <f>F11*I11</f>
        <v>1.1528911392405066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1.1528911392405066</v>
      </c>
      <c r="J12" s="412">
        <f>F12*I12</f>
        <v>4.611564556962026</v>
      </c>
      <c r="K12" s="206">
        <f>H12*I12</f>
        <v>129.5388484050633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647.1445435301267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1.4465050708483436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362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1.4465050708483436</v>
      </c>
      <c r="J17" s="412">
        <f>F17*I17</f>
        <v>1.4465050708483436</v>
      </c>
      <c r="K17" s="206">
        <f>H17*I17</f>
        <v>811.8799011150497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1.4465050708483436</v>
      </c>
      <c r="J18" s="412">
        <f>F18*I18</f>
        <v>1.4465050708483436</v>
      </c>
      <c r="K18" s="206">
        <f>H18*I18</f>
        <v>81.26465488025994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1.4465050708483436</v>
      </c>
      <c r="J19" s="412">
        <f>F19*I19</f>
        <v>8.679030425090062</v>
      </c>
      <c r="K19" s="206">
        <f>H19*I19</f>
        <v>341.3115504970918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1.4465050708483436</v>
      </c>
      <c r="J20" s="412">
        <f>F20*I20</f>
        <v>0.7232525354241718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1.4465050708483436</v>
      </c>
      <c r="J21" s="412">
        <f>F21*I21</f>
        <v>1.4465050708483436</v>
      </c>
      <c r="K21" s="206">
        <f>H21*I21</f>
        <v>568.23926601178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1802.6953725041815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1.1528911392405066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382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1.1528911392405066</v>
      </c>
      <c r="J36" s="412">
        <f aca="true" t="shared" si="2" ref="J36:J41">F36*I36</f>
        <v>13.834693670886079</v>
      </c>
      <c r="K36" s="206">
        <f aca="true" t="shared" si="3" ref="K36:K42">H36*I36</f>
        <v>2019.3395575898737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1.1528911392405066</v>
      </c>
      <c r="J37" s="412">
        <f t="shared" si="2"/>
        <v>1.1528911392405066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1.1528911392405066</v>
      </c>
      <c r="J38" s="412">
        <f t="shared" si="2"/>
        <v>1.1528911392405066</v>
      </c>
      <c r="K38" s="206">
        <f t="shared" si="3"/>
        <v>155.3244116253165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1.1528911392405066</v>
      </c>
      <c r="J39" s="412">
        <f t="shared" si="2"/>
        <v>1.1528911392405066</v>
      </c>
      <c r="K39" s="206">
        <f t="shared" si="3"/>
        <v>168.27829646582282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1.1528911392405066</v>
      </c>
      <c r="J40" s="412">
        <f t="shared" si="2"/>
        <v>0.5764455696202533</v>
      </c>
      <c r="K40" s="206">
        <f t="shared" si="3"/>
        <v>64.70832097215191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1.1528911392405066</v>
      </c>
      <c r="J41" s="412">
        <f t="shared" si="2"/>
        <v>1.1528911392405066</v>
      </c>
      <c r="K41" s="206">
        <f t="shared" si="3"/>
        <v>116.4627571037975</v>
      </c>
    </row>
    <row r="42" spans="1:132" s="1" customFormat="1" ht="13.5" thickBot="1">
      <c r="A42" s="47" t="s">
        <v>139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1.1528911392405066</v>
      </c>
      <c r="J42" s="412">
        <f>F42*I42</f>
        <v>1.1528911392405066</v>
      </c>
      <c r="K42" s="206">
        <f t="shared" si="3"/>
        <v>71.24636662278483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2595.3597103797474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140</v>
      </c>
      <c r="B44" s="529" t="s">
        <v>401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813.2</v>
      </c>
      <c r="J44" s="745">
        <f>I44*F44</f>
        <v>19.5168</v>
      </c>
      <c r="K44" s="209">
        <f>H44*I44</f>
        <v>1551.5856</v>
      </c>
    </row>
    <row r="45" spans="1:11" ht="18.75" customHeight="1">
      <c r="A45" s="316" t="s">
        <v>432</v>
      </c>
      <c r="B45" s="317"/>
      <c r="C45" s="56"/>
      <c r="D45" s="56"/>
      <c r="E45" s="56"/>
      <c r="F45" s="52"/>
      <c r="G45" s="128"/>
      <c r="H45" s="208"/>
      <c r="I45" s="318">
        <f>'сан содерж'!F33</f>
        <v>1.4465050708483436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1.4465050708483436</v>
      </c>
      <c r="J47" s="412">
        <f aca="true" t="shared" si="6" ref="J47:J55">F47*I47</f>
        <v>46.40870435638435</v>
      </c>
      <c r="K47" s="206">
        <f aca="true" t="shared" si="7" ref="K47:K55">H47*I47</f>
        <v>3123.7698902282305</v>
      </c>
    </row>
    <row r="48" spans="1:11" ht="12.75">
      <c r="A48" s="44" t="s">
        <v>151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1.4465050708483436</v>
      </c>
      <c r="J48" s="412">
        <f t="shared" si="6"/>
        <v>0.13259629816109816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1.4465050708483436</v>
      </c>
      <c r="J49" s="412">
        <f t="shared" si="6"/>
        <v>0.13259629816109816</v>
      </c>
      <c r="K49" s="206">
        <f t="shared" si="7"/>
        <v>29.768929707551823</v>
      </c>
    </row>
    <row r="50" spans="1:11" ht="12.75">
      <c r="A50" s="44" t="s">
        <v>498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1.4465050708483436</v>
      </c>
      <c r="J50" s="412">
        <f t="shared" si="6"/>
        <v>0.33149074540274537</v>
      </c>
      <c r="K50" s="206">
        <f t="shared" si="7"/>
        <v>40.93579214978503</v>
      </c>
    </row>
    <row r="51" spans="1:11" ht="12.75">
      <c r="A51" s="44" t="s">
        <v>499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1.4465050708483436</v>
      </c>
      <c r="J51" s="412">
        <f t="shared" si="6"/>
        <v>0.33149074540274537</v>
      </c>
      <c r="K51" s="206">
        <f t="shared" si="7"/>
        <v>40.93579214978503</v>
      </c>
    </row>
    <row r="52" spans="1:11" ht="12.75">
      <c r="A52" s="44" t="s">
        <v>431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1.4465050708483436</v>
      </c>
      <c r="J52" s="412">
        <f t="shared" si="6"/>
        <v>0.6629814908054907</v>
      </c>
      <c r="K52" s="206">
        <f t="shared" si="7"/>
        <v>316.2421711142191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>F53*G53</f>
        <v>0</v>
      </c>
      <c r="I53" s="286">
        <f>I45</f>
        <v>1.4465050708483436</v>
      </c>
      <c r="J53" s="412">
        <f t="shared" si="6"/>
        <v>0.33149074540274537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903">
        <f>150*1.06</f>
        <v>159</v>
      </c>
      <c r="H54" s="209">
        <f t="shared" si="5"/>
        <v>72.875</v>
      </c>
      <c r="I54" s="286">
        <f>I45</f>
        <v>1.4465050708483436</v>
      </c>
      <c r="J54" s="412">
        <f t="shared" si="6"/>
        <v>0.6629814908054907</v>
      </c>
      <c r="K54" s="206">
        <f t="shared" si="7"/>
        <v>105.41405703807304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1.4465050708483436</v>
      </c>
      <c r="J55" s="412">
        <f t="shared" si="6"/>
        <v>0.33149074540274537</v>
      </c>
      <c r="K55" s="206">
        <f t="shared" si="7"/>
        <v>0</v>
      </c>
    </row>
    <row r="56" spans="1:132" s="39" customFormat="1" ht="15.75" customHeight="1" thickBot="1">
      <c r="A56" s="386" t="s">
        <v>194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3657.0666323876444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433</v>
      </c>
      <c r="B58" s="172"/>
      <c r="C58" s="35"/>
      <c r="D58" s="35"/>
      <c r="E58" s="35"/>
      <c r="F58" s="35"/>
      <c r="G58" s="103"/>
      <c r="H58" s="110"/>
      <c r="I58" s="285">
        <f>'сан содерж'!F33</f>
        <v>1.4465050708483436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1.4465050708483436</v>
      </c>
      <c r="J60" s="412">
        <f aca="true" t="shared" si="10" ref="J60:J68">F60*I60</f>
        <v>0.2611745266809509</v>
      </c>
      <c r="K60" s="206">
        <f aca="true" t="shared" si="11" ref="K60:K68">H60*I60</f>
        <v>38.121556263404955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1.4465050708483436</v>
      </c>
      <c r="J61" s="412">
        <f t="shared" si="10"/>
        <v>0.2611745266809509</v>
      </c>
      <c r="K61" s="206">
        <f t="shared" si="11"/>
        <v>23.28266435550005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1.4465050708483436</v>
      </c>
      <c r="J62" s="412">
        <f t="shared" si="10"/>
        <v>0.7835235800428527</v>
      </c>
      <c r="K62" s="206">
        <f t="shared" si="11"/>
        <v>96.75732689949189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1.4465050708483436</v>
      </c>
      <c r="J63" s="412">
        <f t="shared" si="10"/>
        <v>41.5267497422712</v>
      </c>
      <c r="K63" s="206">
        <f t="shared" si="11"/>
        <v>2795.1655251522743</v>
      </c>
    </row>
    <row r="64" spans="1:11" ht="12.75">
      <c r="A64" s="44" t="s">
        <v>39</v>
      </c>
      <c r="B64" s="158" t="s">
        <v>141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1.4465050708483436</v>
      </c>
      <c r="J64" s="412">
        <f t="shared" si="10"/>
        <v>206.85022513131312</v>
      </c>
      <c r="K64" s="206">
        <f t="shared" si="11"/>
        <v>548.1530965979798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1.4465050708483436</v>
      </c>
      <c r="J65" s="412">
        <f t="shared" si="10"/>
        <v>0.39176179002142636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1.4465050708483436</v>
      </c>
      <c r="J66" s="412">
        <f t="shared" si="10"/>
        <v>3.134094320171411</v>
      </c>
      <c r="K66" s="206">
        <f t="shared" si="11"/>
        <v>422.24399137941344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1.4465050708483436</v>
      </c>
      <c r="J67" s="412">
        <f t="shared" si="10"/>
        <v>0.7835235800428527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1.4465050708483436</v>
      </c>
      <c r="J68" s="412">
        <f t="shared" si="10"/>
        <v>0.2611745266809509</v>
      </c>
      <c r="K68" s="206">
        <f t="shared" si="11"/>
        <v>146.72784908935824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193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4070.452009737423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7727.518642125067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434</v>
      </c>
      <c r="B71" s="553" t="s">
        <v>497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39.56</v>
      </c>
      <c r="J71" s="441">
        <f>F71*I71</f>
        <v>5.063680000000001</v>
      </c>
      <c r="K71" s="206">
        <f>H71*I71</f>
        <v>3113.6872140800006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904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152</v>
      </c>
      <c r="B83" s="278" t="s">
        <v>395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144</v>
      </c>
      <c r="B85" s="278" t="s">
        <v>263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481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142</v>
      </c>
      <c r="B89" s="278" t="s">
        <v>264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143</v>
      </c>
      <c r="B90" s="278" t="s">
        <v>265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296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266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383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364</v>
      </c>
      <c r="B96" s="161" t="s">
        <v>366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365</v>
      </c>
      <c r="B97" s="161" t="s">
        <v>384</v>
      </c>
      <c r="C97" s="77">
        <v>1</v>
      </c>
      <c r="D97" s="77">
        <v>162</v>
      </c>
      <c r="E97" s="77">
        <v>1</v>
      </c>
      <c r="F97" s="274">
        <v>162</v>
      </c>
      <c r="G97" s="104">
        <v>10</v>
      </c>
      <c r="H97" s="209">
        <f>F97*G97</f>
        <v>1620</v>
      </c>
      <c r="I97" s="292"/>
      <c r="J97" s="421"/>
      <c r="K97" s="686">
        <f>F97*G97</f>
        <v>1620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367</v>
      </c>
      <c r="B98" s="120" t="s">
        <v>385</v>
      </c>
      <c r="C98" s="32">
        <v>1</v>
      </c>
      <c r="D98" s="32">
        <v>6</v>
      </c>
      <c r="E98" s="32">
        <v>4</v>
      </c>
      <c r="F98" s="274">
        <v>24</v>
      </c>
      <c r="G98" s="103">
        <v>10</v>
      </c>
      <c r="H98" s="209">
        <f>F98*G98</f>
        <v>240</v>
      </c>
      <c r="I98" s="408"/>
      <c r="J98" s="422"/>
      <c r="K98" s="686">
        <f>F98*G98</f>
        <v>240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B16">
      <selection activeCell="H20" sqref="H20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43" t="s">
        <v>744</v>
      </c>
      <c r="C1" s="943"/>
      <c r="D1" s="943"/>
      <c r="E1" s="943"/>
      <c r="F1" s="943"/>
      <c r="G1" s="943"/>
      <c r="H1" s="943"/>
      <c r="I1" s="943"/>
      <c r="J1" s="219"/>
    </row>
    <row r="2" spans="1:10" ht="13.5" thickBot="1">
      <c r="A2" s="3"/>
      <c r="B2" s="29" t="s">
        <v>436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106</v>
      </c>
      <c r="B3" s="442" t="s">
        <v>437</v>
      </c>
      <c r="C3" s="442" t="s">
        <v>107</v>
      </c>
      <c r="D3" s="442" t="s">
        <v>108</v>
      </c>
      <c r="E3" s="442" t="s">
        <v>108</v>
      </c>
      <c r="F3" s="442" t="s">
        <v>109</v>
      </c>
      <c r="G3" s="154" t="s">
        <v>112</v>
      </c>
      <c r="H3" s="154" t="s">
        <v>273</v>
      </c>
      <c r="I3" s="507" t="s">
        <v>241</v>
      </c>
      <c r="J3" s="508" t="s">
        <v>258</v>
      </c>
    </row>
    <row r="4" spans="1:10" ht="36.75" thickBot="1">
      <c r="A4" s="509"/>
      <c r="B4" s="510"/>
      <c r="C4" s="510"/>
      <c r="D4" s="511"/>
      <c r="E4" s="510" t="s">
        <v>272</v>
      </c>
      <c r="F4" s="512" t="s">
        <v>271</v>
      </c>
      <c r="G4" s="294" t="s">
        <v>270</v>
      </c>
      <c r="H4" s="295" t="s">
        <v>269</v>
      </c>
      <c r="I4" s="513" t="s">
        <v>396</v>
      </c>
      <c r="J4" s="339" t="s">
        <v>274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181</v>
      </c>
      <c r="D6" s="515"/>
      <c r="E6" s="348"/>
      <c r="F6" s="348"/>
      <c r="G6" s="515"/>
      <c r="H6" s="516"/>
      <c r="I6" s="517"/>
      <c r="J6" s="518">
        <f>'Исход дан'!D11</f>
        <v>11325.5</v>
      </c>
    </row>
    <row r="7" spans="1:10" ht="51.75" customHeight="1">
      <c r="A7" s="42">
        <v>1</v>
      </c>
      <c r="B7" s="34" t="s">
        <v>439</v>
      </c>
      <c r="C7" s="782" t="s">
        <v>110</v>
      </c>
      <c r="D7" s="782" t="s">
        <v>164</v>
      </c>
      <c r="E7" s="783">
        <v>1</v>
      </c>
      <c r="F7" s="803">
        <f>'Исход дан'!D17</f>
        <v>1773</v>
      </c>
      <c r="G7" s="783">
        <v>1</v>
      </c>
      <c r="H7" s="781">
        <f>5250*1.06*1.06/165.2*0.012*1.202*3</f>
        <v>1.5451404406779665</v>
      </c>
      <c r="I7" s="784">
        <f>F7/E7*G7*H7</f>
        <v>2739.534001322035</v>
      </c>
      <c r="J7" s="785">
        <f>I7/J$6/12</f>
        <v>0.020157564797154172</v>
      </c>
    </row>
    <row r="8" spans="1:10" ht="33.75" customHeight="1">
      <c r="A8" s="42">
        <v>2</v>
      </c>
      <c r="B8" s="34" t="s">
        <v>440</v>
      </c>
      <c r="C8" s="782" t="s">
        <v>165</v>
      </c>
      <c r="D8" s="782" t="s">
        <v>164</v>
      </c>
      <c r="E8" s="783">
        <v>1</v>
      </c>
      <c r="F8" s="783">
        <f>'Исход дан'!D14</f>
        <v>1773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441</v>
      </c>
      <c r="C9" s="782" t="s">
        <v>166</v>
      </c>
      <c r="D9" s="782" t="s">
        <v>164</v>
      </c>
      <c r="E9" s="783">
        <v>1</v>
      </c>
      <c r="F9" s="783">
        <f>'Исход дан'!D14</f>
        <v>1773</v>
      </c>
      <c r="G9" s="783">
        <v>1</v>
      </c>
      <c r="H9" s="781">
        <f>5250*1.06*1.06/165.2*0.09*1.202*0.4</f>
        <v>1.5451404406779663</v>
      </c>
      <c r="I9" s="784">
        <f t="shared" si="0"/>
        <v>2739.5340013220343</v>
      </c>
      <c r="J9" s="785">
        <f t="shared" si="1"/>
        <v>0.02015756479715417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442</v>
      </c>
      <c r="C10" s="802" t="s">
        <v>125</v>
      </c>
      <c r="D10" s="802" t="s">
        <v>126</v>
      </c>
      <c r="E10" s="825">
        <v>1</v>
      </c>
      <c r="F10" s="825">
        <f>'Исход дан'!D19</f>
        <v>168</v>
      </c>
      <c r="G10" s="825">
        <v>1</v>
      </c>
      <c r="H10" s="787">
        <f>8347.5*1.06*1.06/165.2*0.56*1.202</f>
        <v>38.2164735661017</v>
      </c>
      <c r="I10" s="826">
        <f t="shared" si="0"/>
        <v>6420.367559105085</v>
      </c>
      <c r="J10" s="827">
        <f t="shared" si="1"/>
        <v>0.04724123702489283</v>
      </c>
    </row>
    <row r="11" spans="1:10" ht="67.5" customHeight="1">
      <c r="A11" s="42">
        <v>5</v>
      </c>
      <c r="B11" s="802" t="s">
        <v>443</v>
      </c>
      <c r="C11" s="802" t="s">
        <v>116</v>
      </c>
      <c r="D11" s="802" t="s">
        <v>115</v>
      </c>
      <c r="E11" s="825">
        <v>1</v>
      </c>
      <c r="F11" s="794">
        <f>'Исход дан'!D20</f>
        <v>1636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444</v>
      </c>
      <c r="C12" s="802" t="s">
        <v>145</v>
      </c>
      <c r="D12" s="802" t="s">
        <v>117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445</v>
      </c>
      <c r="C13" s="802" t="s">
        <v>389</v>
      </c>
      <c r="D13" s="802" t="s">
        <v>117</v>
      </c>
      <c r="E13" s="825">
        <v>1</v>
      </c>
      <c r="F13" s="825">
        <f>'Исход дан'!D22</f>
        <v>600</v>
      </c>
      <c r="G13" s="825">
        <v>1</v>
      </c>
      <c r="H13" s="787">
        <f>8347.5*1.06*1.06/165.2*0.33*1.202</f>
        <v>22.520421922881358</v>
      </c>
      <c r="I13" s="826">
        <f t="shared" si="0"/>
        <v>13512.253153728814</v>
      </c>
      <c r="J13" s="827">
        <f t="shared" si="1"/>
        <v>0.09942352179983822</v>
      </c>
    </row>
    <row r="14" spans="1:13" ht="42" customHeight="1">
      <c r="A14" s="42">
        <v>8</v>
      </c>
      <c r="B14" s="802" t="s">
        <v>446</v>
      </c>
      <c r="C14" s="802" t="s">
        <v>469</v>
      </c>
      <c r="D14" s="802" t="s">
        <v>122</v>
      </c>
      <c r="E14" s="825">
        <v>1</v>
      </c>
      <c r="F14" s="825">
        <f>'Исход дан'!D26</f>
        <v>1276</v>
      </c>
      <c r="G14" s="825">
        <v>1</v>
      </c>
      <c r="H14" s="787">
        <f>8347.5*1.06*1.06/165.2*0.26*1.202</f>
        <v>17.743362727118647</v>
      </c>
      <c r="I14" s="826">
        <f t="shared" si="0"/>
        <v>22640.530839803396</v>
      </c>
      <c r="J14" s="827">
        <f t="shared" si="1"/>
        <v>0.16658963430461787</v>
      </c>
      <c r="K14" s="948" t="s">
        <v>685</v>
      </c>
      <c r="L14" s="949"/>
      <c r="M14" s="949"/>
    </row>
    <row r="15" spans="1:14" ht="34.5" customHeight="1">
      <c r="A15" s="42">
        <v>9</v>
      </c>
      <c r="B15" s="828" t="s">
        <v>447</v>
      </c>
      <c r="C15" s="828" t="s">
        <v>123</v>
      </c>
      <c r="D15" s="828" t="s">
        <v>124</v>
      </c>
      <c r="E15" s="829">
        <v>100</v>
      </c>
      <c r="F15" s="829">
        <f>'Исход дан'!D18</f>
        <v>46275</v>
      </c>
      <c r="G15" s="829">
        <v>1</v>
      </c>
      <c r="H15" s="830">
        <f>17430*1.06*1.06/165.2*0.87*1.202*0.8</f>
        <v>99.17741441898306</v>
      </c>
      <c r="I15" s="831">
        <f t="shared" si="0"/>
        <v>45894.34852238441</v>
      </c>
      <c r="J15" s="832">
        <f t="shared" si="1"/>
        <v>0.3376918496783395</v>
      </c>
      <c r="K15" t="s">
        <v>504</v>
      </c>
      <c r="L15" s="947" t="s">
        <v>712</v>
      </c>
      <c r="M15" s="947"/>
      <c r="N15" s="872">
        <f>7114/154.68121*1.0852</f>
        <v>49.90982938393099</v>
      </c>
    </row>
    <row r="16" spans="1:11" ht="46.5" customHeight="1">
      <c r="A16" s="42">
        <v>10</v>
      </c>
      <c r="B16" s="828" t="s">
        <v>448</v>
      </c>
      <c r="C16" s="828" t="s">
        <v>127</v>
      </c>
      <c r="D16" s="828" t="s">
        <v>128</v>
      </c>
      <c r="E16" s="829">
        <v>100</v>
      </c>
      <c r="F16" s="829">
        <f>'Исход дан'!D23</f>
        <v>4881</v>
      </c>
      <c r="G16" s="829">
        <v>1</v>
      </c>
      <c r="H16" s="830">
        <f>17430*1.06*1.06/165.2*7.7*1.202*0.8</f>
        <v>877.777116122034</v>
      </c>
      <c r="I16" s="831">
        <f t="shared" si="0"/>
        <v>42844.301037916484</v>
      </c>
      <c r="J16" s="832">
        <f t="shared" si="1"/>
        <v>0.3152495183282304</v>
      </c>
      <c r="K16" t="s">
        <v>503</v>
      </c>
    </row>
    <row r="17" spans="1:14" ht="61.5" customHeight="1">
      <c r="A17" s="42">
        <v>11</v>
      </c>
      <c r="B17" s="34" t="s">
        <v>449</v>
      </c>
      <c r="C17" s="34" t="s">
        <v>121</v>
      </c>
      <c r="D17" s="34" t="s">
        <v>120</v>
      </c>
      <c r="E17" s="221">
        <v>1</v>
      </c>
      <c r="F17" s="221">
        <f>'Исход дан'!D25</f>
        <v>26</v>
      </c>
      <c r="G17" s="221">
        <v>1</v>
      </c>
      <c r="H17" s="447">
        <f>17430*1.06*1.06/165.2*4.1*1.202</f>
        <v>584.2347688474576</v>
      </c>
      <c r="I17" s="235">
        <f t="shared" si="0"/>
        <v>15190.103990033898</v>
      </c>
      <c r="J17" s="687">
        <f t="shared" si="1"/>
        <v>0.1117691933397635</v>
      </c>
      <c r="K17" s="792" t="s">
        <v>505</v>
      </c>
      <c r="L17" s="950" t="s">
        <v>686</v>
      </c>
      <c r="M17" s="950"/>
      <c r="N17" s="873" t="s">
        <v>713</v>
      </c>
    </row>
    <row r="18" spans="1:14" ht="56.25" customHeight="1">
      <c r="A18" s="42">
        <v>12</v>
      </c>
      <c r="B18" s="34" t="s">
        <v>450</v>
      </c>
      <c r="C18" s="34" t="s">
        <v>113</v>
      </c>
      <c r="D18" s="34" t="s">
        <v>114</v>
      </c>
      <c r="E18" s="221">
        <v>1</v>
      </c>
      <c r="F18" s="221">
        <f>'Исход дан'!D24</f>
        <v>6</v>
      </c>
      <c r="G18" s="221">
        <v>10</v>
      </c>
      <c r="H18" s="447">
        <f>9082.5*1.06*1.06/165.2*0.58*1.202*3</f>
        <v>129.19949318135596</v>
      </c>
      <c r="I18" s="235">
        <f t="shared" si="0"/>
        <v>7751.969590881357</v>
      </c>
      <c r="J18" s="687">
        <f t="shared" si="1"/>
        <v>0.05703920055686546</v>
      </c>
      <c r="K18" s="792" t="s">
        <v>506</v>
      </c>
      <c r="L18" s="947" t="s">
        <v>687</v>
      </c>
      <c r="M18" s="947"/>
      <c r="N18" s="818" t="s">
        <v>714</v>
      </c>
    </row>
    <row r="19" spans="1:10" ht="29.25" customHeight="1">
      <c r="A19" s="42">
        <v>13</v>
      </c>
      <c r="B19" s="34" t="s">
        <v>451</v>
      </c>
      <c r="C19" s="34" t="s">
        <v>118</v>
      </c>
      <c r="D19" s="34" t="s">
        <v>119</v>
      </c>
      <c r="E19" s="221">
        <v>1</v>
      </c>
      <c r="F19" s="221">
        <f>'Исход дан'!D27</f>
        <v>54</v>
      </c>
      <c r="G19" s="221">
        <v>1</v>
      </c>
      <c r="H19" s="447">
        <f>9082.5*1.06*1.06/165.2*3.24*1.202*0.6</f>
        <v>144.3470199681356</v>
      </c>
      <c r="I19" s="235">
        <f t="shared" si="0"/>
        <v>7794.739078279323</v>
      </c>
      <c r="J19" s="687">
        <f t="shared" si="1"/>
        <v>0.057353899594420575</v>
      </c>
    </row>
    <row r="20" spans="1:13" ht="30.75" customHeight="1">
      <c r="A20" s="42">
        <v>14</v>
      </c>
      <c r="B20" s="34" t="s">
        <v>451</v>
      </c>
      <c r="C20" s="34" t="s">
        <v>146</v>
      </c>
      <c r="D20" s="34" t="s">
        <v>119</v>
      </c>
      <c r="E20" s="221">
        <v>1</v>
      </c>
      <c r="F20" s="221">
        <f>'Исход дан'!D28</f>
        <v>2</v>
      </c>
      <c r="G20" s="221">
        <v>1</v>
      </c>
      <c r="H20" s="447">
        <f>9082.5*1.06*1.06/165.2*3.24*1.202*5</f>
        <v>1202.8918330677968</v>
      </c>
      <c r="I20" s="235">
        <f t="shared" si="0"/>
        <v>2405.7836661355936</v>
      </c>
      <c r="J20" s="687">
        <f t="shared" si="1"/>
        <v>0.017701820862475487</v>
      </c>
      <c r="L20" s="951" t="s">
        <v>721</v>
      </c>
      <c r="M20" s="951"/>
    </row>
    <row r="21" spans="1:10" ht="12.75">
      <c r="A21" s="42">
        <v>15</v>
      </c>
      <c r="B21" s="34"/>
      <c r="C21" s="820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501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458</v>
      </c>
      <c r="C24" s="747"/>
      <c r="D24" s="747"/>
      <c r="E24" s="747"/>
      <c r="F24" s="747"/>
      <c r="G24" s="747"/>
      <c r="H24" s="747"/>
      <c r="I24" s="748">
        <f>SUM(I7:I20)</f>
        <v>169933.46544091243</v>
      </c>
      <c r="J24" s="749">
        <f>I24/J6/12</f>
        <v>1.2503750050837523</v>
      </c>
      <c r="K24" t="s">
        <v>508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438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129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452</v>
      </c>
      <c r="C28" s="34" t="s">
        <v>240</v>
      </c>
      <c r="D28" s="34" t="s">
        <v>131</v>
      </c>
      <c r="E28" s="221">
        <v>1000</v>
      </c>
      <c r="F28" s="750">
        <f>'Исход дан'!D11</f>
        <v>11325.5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453</v>
      </c>
      <c r="C29" s="802" t="s">
        <v>307</v>
      </c>
      <c r="D29" s="34" t="s">
        <v>130</v>
      </c>
      <c r="E29" s="221">
        <v>1000</v>
      </c>
      <c r="F29" s="221">
        <f>'Исход дан'!D17</f>
        <v>1773</v>
      </c>
      <c r="G29" s="221">
        <v>7</v>
      </c>
      <c r="H29" s="447">
        <f>9082.5*1.06*1.06/165.2*4*1.202*1.1</f>
        <v>326.71136206779664</v>
      </c>
      <c r="I29" s="235">
        <f>F29/E29*G29*H29</f>
        <v>4054.814714623424</v>
      </c>
      <c r="J29" s="687">
        <f aca="true" t="shared" si="3" ref="J29:J38">I29/J$6/12</f>
        <v>0.02983543562921007</v>
      </c>
      <c r="K29" s="792" t="s">
        <v>507</v>
      </c>
    </row>
    <row r="30" spans="1:10" ht="67.5" customHeight="1">
      <c r="A30" s="42">
        <v>2</v>
      </c>
      <c r="B30" s="34" t="s">
        <v>453</v>
      </c>
      <c r="C30" s="802" t="s">
        <v>308</v>
      </c>
      <c r="D30" s="34" t="s">
        <v>130</v>
      </c>
      <c r="E30" s="221">
        <v>1000</v>
      </c>
      <c r="F30" s="221">
        <f>'Исход дан'!D17</f>
        <v>1773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454</v>
      </c>
      <c r="C31" s="802" t="s">
        <v>435</v>
      </c>
      <c r="D31" s="34" t="s">
        <v>167</v>
      </c>
      <c r="E31" s="221">
        <v>1</v>
      </c>
      <c r="F31" s="221">
        <f>'Исход дан'!D5</f>
        <v>214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455</v>
      </c>
      <c r="C32" s="802" t="s">
        <v>309</v>
      </c>
      <c r="D32" s="34" t="s">
        <v>130</v>
      </c>
      <c r="E32" s="751">
        <v>1000</v>
      </c>
      <c r="F32" s="221">
        <f>'Исход дан'!D17</f>
        <v>1773</v>
      </c>
      <c r="G32" s="221">
        <v>12</v>
      </c>
      <c r="H32" s="447">
        <f>9082.5*1.06*1.06/165.2*4*1.202</f>
        <v>297.0103291525424</v>
      </c>
      <c r="I32" s="235">
        <f t="shared" si="2"/>
        <v>6319.191763049492</v>
      </c>
      <c r="J32" s="885">
        <f t="shared" si="3"/>
        <v>0.04649678279876895</v>
      </c>
      <c r="K32" s="792" t="s">
        <v>507</v>
      </c>
    </row>
    <row r="33" spans="1:10" ht="40.5" customHeight="1">
      <c r="A33" s="42">
        <v>5</v>
      </c>
      <c r="B33" s="34" t="s">
        <v>455</v>
      </c>
      <c r="C33" s="34" t="s">
        <v>302</v>
      </c>
      <c r="D33" s="34" t="s">
        <v>130</v>
      </c>
      <c r="E33" s="751">
        <v>1000</v>
      </c>
      <c r="F33" s="221">
        <f>'Исход дан'!D15</f>
        <v>0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456</v>
      </c>
      <c r="C34" s="34" t="s">
        <v>132</v>
      </c>
      <c r="D34" s="34" t="s">
        <v>133</v>
      </c>
      <c r="E34" s="221">
        <v>100</v>
      </c>
      <c r="F34" s="221">
        <f>'Исход дан'!D33*'Исход дан'!D34</f>
        <v>54</v>
      </c>
      <c r="G34" s="221">
        <v>4</v>
      </c>
      <c r="H34" s="447">
        <f>9082.5*1.06*1.06/165.2*9*1.202</f>
        <v>668.2732405932204</v>
      </c>
      <c r="I34" s="235">
        <f t="shared" si="2"/>
        <v>1443.4701996813562</v>
      </c>
      <c r="J34" s="687">
        <f t="shared" si="3"/>
        <v>0.010621092517485295</v>
      </c>
    </row>
    <row r="35" spans="1:10" ht="66" customHeight="1">
      <c r="A35" s="42">
        <v>7</v>
      </c>
      <c r="B35" s="34" t="s">
        <v>457</v>
      </c>
      <c r="C35" s="34" t="s">
        <v>134</v>
      </c>
      <c r="D35" s="34" t="s">
        <v>500</v>
      </c>
      <c r="E35" s="221">
        <v>1</v>
      </c>
      <c r="F35" s="221">
        <f>'Исход дан'!D28</f>
        <v>2</v>
      </c>
      <c r="G35" s="221">
        <v>12</v>
      </c>
      <c r="H35" s="787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487</v>
      </c>
      <c r="C36" s="34" t="s">
        <v>370</v>
      </c>
      <c r="D36" s="34" t="s">
        <v>136</v>
      </c>
      <c r="E36" s="221">
        <v>1000</v>
      </c>
      <c r="F36" s="750">
        <f>'Исход дан'!D12</f>
        <v>11325.5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487</v>
      </c>
      <c r="C37" s="34" t="s">
        <v>135</v>
      </c>
      <c r="D37" s="34" t="s">
        <v>136</v>
      </c>
      <c r="E37" s="221">
        <v>1000</v>
      </c>
      <c r="F37" s="221">
        <f>'Исход дан'!D17</f>
        <v>1773</v>
      </c>
      <c r="G37" s="221">
        <v>4</v>
      </c>
      <c r="H37" s="447">
        <f>9082.5*1.06*1.06/165.2*8*1.202</f>
        <v>594.0206583050848</v>
      </c>
      <c r="I37" s="235">
        <f t="shared" si="2"/>
        <v>4212.7945086996615</v>
      </c>
      <c r="J37" s="885">
        <f t="shared" si="3"/>
        <v>0.0309978551991793</v>
      </c>
    </row>
    <row r="38" spans="1:10" ht="28.5" customHeight="1">
      <c r="A38" s="746">
        <v>10</v>
      </c>
      <c r="B38" s="747" t="s">
        <v>137</v>
      </c>
      <c r="C38" s="747"/>
      <c r="D38" s="747"/>
      <c r="E38" s="747"/>
      <c r="F38" s="747"/>
      <c r="G38" s="747"/>
      <c r="H38" s="747"/>
      <c r="I38" s="748">
        <f>SUM(I28:I37)</f>
        <v>16030.271186053935</v>
      </c>
      <c r="J38" s="749">
        <f t="shared" si="3"/>
        <v>0.11795116614464361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138</v>
      </c>
      <c r="C40" s="9"/>
      <c r="D40" s="9"/>
      <c r="E40" s="9"/>
      <c r="F40" s="9"/>
      <c r="G40" s="9"/>
      <c r="H40" s="9"/>
      <c r="I40" s="111">
        <f>I24+I38</f>
        <v>185963.73662696636</v>
      </c>
      <c r="J40" s="341">
        <f>I40/J6/12</f>
        <v>1.3683261712283958</v>
      </c>
      <c r="K40" s="945"/>
      <c r="L40" s="946"/>
      <c r="M40" s="946"/>
    </row>
    <row r="41" spans="1:13" ht="108" thickBot="1">
      <c r="A41" s="527"/>
      <c r="B41" s="522"/>
      <c r="C41" s="820" t="s">
        <v>680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7"/>
      <c r="L41" s="877"/>
      <c r="M41" s="877"/>
    </row>
    <row r="42" spans="1:13" ht="19.5">
      <c r="A42" s="136"/>
      <c r="B42" s="34"/>
      <c r="C42" s="882" t="s">
        <v>691</v>
      </c>
      <c r="D42" s="34"/>
      <c r="E42" s="34"/>
      <c r="F42" s="34"/>
      <c r="G42" s="34"/>
      <c r="H42" s="34"/>
      <c r="I42" s="883">
        <v>10500.26</v>
      </c>
      <c r="J42" s="441"/>
      <c r="K42" s="877"/>
      <c r="L42" s="877"/>
      <c r="M42" s="877"/>
    </row>
    <row r="43" spans="1:13" ht="12.75">
      <c r="A43" s="136"/>
      <c r="B43" s="34"/>
      <c r="C43" s="820" t="s">
        <v>693</v>
      </c>
      <c r="D43" s="34"/>
      <c r="E43" s="34"/>
      <c r="F43" s="34"/>
      <c r="G43" s="34"/>
      <c r="H43" s="34"/>
      <c r="I43" s="822">
        <v>1582.2</v>
      </c>
      <c r="J43" s="441"/>
      <c r="K43" s="877"/>
      <c r="L43" s="877"/>
      <c r="M43" s="877"/>
    </row>
    <row r="44" spans="1:13" ht="12.75">
      <c r="A44" s="136"/>
      <c r="B44" s="136"/>
      <c r="C44" s="837" t="s">
        <v>694</v>
      </c>
      <c r="D44" s="136"/>
      <c r="E44" s="136"/>
      <c r="F44" s="136"/>
      <c r="G44" s="136"/>
      <c r="H44" s="136"/>
      <c r="I44" s="838">
        <v>1091.7</v>
      </c>
      <c r="J44" s="839"/>
      <c r="K44" s="877"/>
      <c r="L44" s="877"/>
      <c r="M44" s="877"/>
    </row>
    <row r="45" spans="1:13" ht="12.75">
      <c r="A45" s="136"/>
      <c r="B45" s="136"/>
      <c r="C45" s="837" t="s">
        <v>695</v>
      </c>
      <c r="D45" s="136"/>
      <c r="E45" s="136"/>
      <c r="F45" s="136"/>
      <c r="G45" s="136"/>
      <c r="H45" s="136"/>
      <c r="I45" s="838">
        <v>3399.96</v>
      </c>
      <c r="J45" s="839"/>
      <c r="K45" s="877"/>
      <c r="L45" s="877"/>
      <c r="M45" s="877"/>
    </row>
    <row r="46" spans="1:13" ht="12.75">
      <c r="A46" s="136"/>
      <c r="B46" s="136"/>
      <c r="C46" s="837" t="s">
        <v>696</v>
      </c>
      <c r="D46" s="136"/>
      <c r="E46" s="136"/>
      <c r="F46" s="136"/>
      <c r="G46" s="136"/>
      <c r="H46" s="136"/>
      <c r="I46" s="838">
        <v>4221.4</v>
      </c>
      <c r="J46" s="839"/>
      <c r="K46" s="877"/>
      <c r="L46" s="877"/>
      <c r="M46" s="877"/>
    </row>
    <row r="47" spans="1:15" ht="12.75">
      <c r="A47" s="136"/>
      <c r="B47" s="136"/>
      <c r="C47" s="837" t="s">
        <v>716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52" t="s">
        <v>719</v>
      </c>
      <c r="L47" s="953"/>
      <c r="M47" s="953"/>
      <c r="N47" s="953"/>
      <c r="O47" s="953"/>
    </row>
    <row r="48" spans="1:13" ht="12.75">
      <c r="A48" s="136"/>
      <c r="B48" s="136"/>
      <c r="C48" s="837" t="s">
        <v>720</v>
      </c>
      <c r="D48" s="136"/>
      <c r="E48" s="136"/>
      <c r="F48" s="136"/>
      <c r="G48" s="136"/>
      <c r="H48" s="136"/>
      <c r="I48" s="838">
        <v>648.11</v>
      </c>
      <c r="J48" s="839"/>
      <c r="K48" s="877"/>
      <c r="L48" s="877"/>
      <c r="M48" s="877"/>
    </row>
    <row r="49" spans="1:15" ht="12.75">
      <c r="A49" s="136"/>
      <c r="B49" s="136"/>
      <c r="C49" s="837" t="s">
        <v>728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37" t="s">
        <v>722</v>
      </c>
      <c r="L49" s="938"/>
      <c r="M49" s="938"/>
      <c r="N49" s="938"/>
      <c r="O49" s="938"/>
    </row>
    <row r="50" spans="1:15" ht="12.75">
      <c r="A50" s="136"/>
      <c r="B50" s="136"/>
      <c r="C50" s="837" t="s">
        <v>729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37" t="s">
        <v>723</v>
      </c>
      <c r="L50" s="938"/>
      <c r="M50" s="938"/>
      <c r="N50" s="938"/>
      <c r="O50" s="938"/>
    </row>
    <row r="51" spans="1:15" ht="12.75">
      <c r="A51" s="136"/>
      <c r="B51" s="136"/>
      <c r="C51" s="837" t="s">
        <v>732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79"/>
      <c r="L51" s="880"/>
      <c r="M51" s="880"/>
      <c r="N51" s="880"/>
      <c r="O51" s="880"/>
    </row>
    <row r="52" spans="1:15" ht="12.75">
      <c r="A52" s="136"/>
      <c r="B52" s="136"/>
      <c r="C52" s="837" t="s">
        <v>731</v>
      </c>
      <c r="D52" s="136"/>
      <c r="E52" s="136"/>
      <c r="F52" s="136"/>
      <c r="G52" s="136"/>
      <c r="H52" s="136"/>
      <c r="I52" s="838">
        <v>205</v>
      </c>
      <c r="J52" s="839"/>
      <c r="K52" s="879"/>
      <c r="L52" s="880"/>
      <c r="M52" s="880"/>
      <c r="N52" s="880"/>
      <c r="O52" s="880"/>
    </row>
    <row r="53" spans="1:15" ht="12.75">
      <c r="A53" s="136"/>
      <c r="B53" s="136"/>
      <c r="C53" s="837" t="s">
        <v>730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40" t="s">
        <v>733</v>
      </c>
      <c r="L53" s="941"/>
      <c r="M53" s="941"/>
      <c r="N53" s="941"/>
      <c r="O53" s="941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37" t="s">
        <v>724</v>
      </c>
      <c r="L54" s="938"/>
      <c r="M54" s="938"/>
      <c r="N54" s="938"/>
      <c r="O54" s="938"/>
    </row>
    <row r="55" spans="1:15" ht="25.5" customHeight="1">
      <c r="A55" s="944" t="s">
        <v>486</v>
      </c>
      <c r="B55" s="944"/>
      <c r="C55" s="944"/>
      <c r="D55" s="944"/>
      <c r="E55" s="944"/>
      <c r="F55" s="944"/>
      <c r="G55" s="944"/>
      <c r="H55" s="944"/>
      <c r="I55" s="944"/>
      <c r="J55" s="944"/>
      <c r="K55" s="942" t="s">
        <v>725</v>
      </c>
      <c r="L55" s="942"/>
      <c r="M55" s="942"/>
      <c r="N55" s="942"/>
      <c r="O55" s="942"/>
    </row>
    <row r="56" spans="1:11" ht="25.5">
      <c r="A56" t="s">
        <v>510</v>
      </c>
      <c r="B56" s="807"/>
      <c r="C56" s="876" t="s">
        <v>688</v>
      </c>
      <c r="D56" s="807" t="s">
        <v>56</v>
      </c>
      <c r="E56" s="807"/>
      <c r="F56" s="807"/>
      <c r="G56" s="807"/>
      <c r="H56" s="807"/>
      <c r="I56" s="881">
        <f>648.11</f>
        <v>648.11</v>
      </c>
      <c r="J56" s="817">
        <f>I56/1440.19/12</f>
        <v>0.03750141763702474</v>
      </c>
      <c r="K56" s="792"/>
    </row>
    <row r="57" spans="1:10" ht="12.75">
      <c r="A57" t="s">
        <v>509</v>
      </c>
      <c r="B57" s="807"/>
      <c r="C57" s="834" t="s">
        <v>511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522</v>
      </c>
      <c r="C58" s="810" t="s">
        <v>517</v>
      </c>
      <c r="D58" s="807" t="s">
        <v>512</v>
      </c>
      <c r="E58" s="807"/>
      <c r="F58" s="807">
        <v>30</v>
      </c>
      <c r="G58" s="807"/>
      <c r="H58" s="807">
        <v>1.4</v>
      </c>
      <c r="I58" s="814">
        <f>17199.5/165.2*1.4*1.202*30</f>
        <v>5256.05059322034</v>
      </c>
      <c r="J58" s="814">
        <f>I58/11307.05/12</f>
        <v>0.03873726711226138</v>
      </c>
      <c r="K58" s="792" t="s">
        <v>519</v>
      </c>
      <c r="L58">
        <v>4.5</v>
      </c>
    </row>
    <row r="59" spans="2:12" ht="38.25">
      <c r="B59" s="807" t="s">
        <v>523</v>
      </c>
      <c r="C59" s="810" t="s">
        <v>530</v>
      </c>
      <c r="D59" s="807" t="s">
        <v>514</v>
      </c>
      <c r="E59" s="807"/>
      <c r="F59" s="807">
        <v>4</v>
      </c>
      <c r="G59" s="807"/>
      <c r="H59" s="807">
        <v>2.8</v>
      </c>
      <c r="I59" s="814">
        <f>16085.1/165.2*2.8*1.202*4</f>
        <v>1310.7993355932203</v>
      </c>
      <c r="J59" s="814">
        <f>I59/11307.05/12</f>
        <v>0.009660634556856272</v>
      </c>
      <c r="K59" s="792" t="s">
        <v>518</v>
      </c>
      <c r="L59">
        <v>3.4</v>
      </c>
    </row>
    <row r="60" spans="2:12" ht="12.75">
      <c r="B60" s="807" t="s">
        <v>524</v>
      </c>
      <c r="C60" s="810" t="s">
        <v>515</v>
      </c>
      <c r="D60" s="807" t="s">
        <v>516</v>
      </c>
      <c r="E60" s="807"/>
      <c r="F60" s="807">
        <v>20</v>
      </c>
      <c r="G60" s="807"/>
      <c r="H60" s="807">
        <v>0.52</v>
      </c>
      <c r="I60" s="814">
        <f>8381.7/165.2*0.52*1.202*20</f>
        <v>634.2491244552059</v>
      </c>
      <c r="J60" s="814">
        <f>I60/1440.19/12</f>
        <v>0.036699389458752306</v>
      </c>
      <c r="K60">
        <v>8381.7</v>
      </c>
      <c r="L60">
        <v>4</v>
      </c>
    </row>
    <row r="61" spans="2:12" ht="38.25">
      <c r="B61" s="807" t="s">
        <v>525</v>
      </c>
      <c r="C61" s="810" t="s">
        <v>520</v>
      </c>
      <c r="D61" s="807" t="s">
        <v>521</v>
      </c>
      <c r="E61" s="807"/>
      <c r="F61" s="807">
        <v>40</v>
      </c>
      <c r="G61" s="807"/>
      <c r="H61" s="807">
        <v>0.49</v>
      </c>
      <c r="I61" s="814">
        <f>H61*8381.7/165.2*1.202*40</f>
        <v>1195.3156576271188</v>
      </c>
      <c r="J61" s="814">
        <f>I61/1440.19/12</f>
        <v>0.06916423397995627</v>
      </c>
      <c r="K61">
        <v>8381.7</v>
      </c>
      <c r="L61">
        <v>4</v>
      </c>
    </row>
    <row r="62" spans="2:12" ht="38.25">
      <c r="B62" s="807" t="s">
        <v>527</v>
      </c>
      <c r="C62" s="810" t="s">
        <v>526</v>
      </c>
      <c r="D62" s="807" t="s">
        <v>164</v>
      </c>
      <c r="E62" s="807"/>
      <c r="F62" s="807">
        <v>11</v>
      </c>
      <c r="G62" s="807"/>
      <c r="H62" s="807">
        <v>1.29</v>
      </c>
      <c r="I62" s="814">
        <f>8381.7/165.2*1.29*1.202*11</f>
        <v>865.3841419249396</v>
      </c>
      <c r="J62" s="814">
        <f>I62/1440.19/12</f>
        <v>0.05007349388650917</v>
      </c>
      <c r="K62">
        <v>8381.7</v>
      </c>
      <c r="L62">
        <v>3.2</v>
      </c>
    </row>
    <row r="63" spans="2:12" ht="76.5">
      <c r="B63" s="807" t="s">
        <v>531</v>
      </c>
      <c r="C63" s="810" t="s">
        <v>532</v>
      </c>
      <c r="D63" s="807" t="s">
        <v>528</v>
      </c>
      <c r="E63" s="807"/>
      <c r="F63" s="807">
        <v>9</v>
      </c>
      <c r="G63" s="807"/>
      <c r="H63" s="807">
        <v>1.3</v>
      </c>
      <c r="I63" s="814">
        <f>16521.2/165.2*1.3*9*1.202</f>
        <v>1406.442155447942</v>
      </c>
      <c r="J63" s="814">
        <f>I63/1440.19/12</f>
        <v>0.08138059072344285</v>
      </c>
      <c r="K63" s="792" t="s">
        <v>529</v>
      </c>
      <c r="L63">
        <v>5.3</v>
      </c>
    </row>
    <row r="64" spans="2:11" ht="63.75">
      <c r="B64" s="795" t="s">
        <v>535</v>
      </c>
      <c r="C64" s="810" t="s">
        <v>539</v>
      </c>
      <c r="D64" s="807" t="s">
        <v>534</v>
      </c>
      <c r="E64" s="807"/>
      <c r="F64" s="807">
        <v>20</v>
      </c>
      <c r="G64" s="807"/>
      <c r="H64" s="807">
        <v>2.335</v>
      </c>
      <c r="I64" s="814">
        <f>16521.2/165.2*2.335*20*1.202</f>
        <v>5613.747748668281</v>
      </c>
      <c r="J64" s="814">
        <f>I64/1440.19/12</f>
        <v>0.32482680228929756</v>
      </c>
      <c r="K64">
        <v>16085.1</v>
      </c>
    </row>
    <row r="65" spans="2:11" ht="12.75">
      <c r="B65" s="795" t="s">
        <v>533</v>
      </c>
      <c r="C65" s="810" t="s">
        <v>540</v>
      </c>
      <c r="D65" s="807" t="s">
        <v>534</v>
      </c>
      <c r="E65" s="807"/>
      <c r="F65" s="807">
        <v>10</v>
      </c>
      <c r="G65" s="807"/>
      <c r="H65" s="807">
        <v>2.208</v>
      </c>
      <c r="I65" s="814">
        <f>16521.2/165.2*2.208*10*1.202</f>
        <v>2654.20878566586</v>
      </c>
      <c r="J65" s="814"/>
      <c r="K65">
        <v>16085.1</v>
      </c>
    </row>
    <row r="66" spans="2:10" ht="25.5">
      <c r="B66" s="807" t="s">
        <v>538</v>
      </c>
      <c r="C66" s="809" t="s">
        <v>536</v>
      </c>
      <c r="D66" s="807" t="s">
        <v>537</v>
      </c>
      <c r="E66" s="807"/>
      <c r="F66" s="807">
        <v>2</v>
      </c>
      <c r="G66" s="807"/>
      <c r="H66" s="807">
        <v>8</v>
      </c>
      <c r="I66" s="814">
        <f>16085.1/165.2*2*8*1.202</f>
        <v>1872.5704794188862</v>
      </c>
      <c r="J66" s="814">
        <f>I66/1440.19/12</f>
        <v>0.10835205073745398</v>
      </c>
    </row>
    <row r="67" spans="2:10" ht="12.75">
      <c r="B67" s="834"/>
      <c r="C67" s="834" t="s">
        <v>726</v>
      </c>
      <c r="D67" s="834"/>
      <c r="E67" s="834"/>
      <c r="F67" s="834"/>
      <c r="G67" s="834"/>
      <c r="H67" s="834"/>
      <c r="I67" s="835">
        <f>SUM(I58:I66)</f>
        <v>20808.768022021795</v>
      </c>
      <c r="J67" s="834"/>
    </row>
    <row r="68" spans="2:10" ht="12.75">
      <c r="B68" s="807"/>
      <c r="C68" s="809" t="s">
        <v>541</v>
      </c>
      <c r="D68" s="807"/>
      <c r="E68" s="807"/>
      <c r="F68" s="807"/>
      <c r="G68" s="807"/>
      <c r="H68" s="807" t="s">
        <v>56</v>
      </c>
      <c r="I68" s="807"/>
      <c r="J68" s="807"/>
    </row>
    <row r="69" spans="2:10" ht="12.75">
      <c r="B69" s="807" t="s">
        <v>542</v>
      </c>
      <c r="C69" s="809" t="s">
        <v>543</v>
      </c>
      <c r="D69" s="807" t="s">
        <v>544</v>
      </c>
      <c r="E69" s="807"/>
      <c r="F69" s="807">
        <v>30</v>
      </c>
      <c r="G69" s="807"/>
      <c r="H69" s="807">
        <v>140</v>
      </c>
      <c r="I69" s="807">
        <f aca="true" t="shared" si="4" ref="I69:I75">F69*H69</f>
        <v>4200</v>
      </c>
      <c r="J69" s="807"/>
    </row>
    <row r="70" spans="2:10" ht="25.5">
      <c r="B70" s="807"/>
      <c r="C70" s="809" t="s">
        <v>761</v>
      </c>
      <c r="D70" s="807" t="s">
        <v>554</v>
      </c>
      <c r="E70" s="807"/>
      <c r="F70" s="807">
        <v>2</v>
      </c>
      <c r="G70" s="807"/>
      <c r="H70" s="807">
        <v>60</v>
      </c>
      <c r="I70" s="807">
        <f t="shared" si="4"/>
        <v>120</v>
      </c>
      <c r="J70" s="807"/>
    </row>
    <row r="71" spans="2:10" ht="25.5">
      <c r="B71" s="807"/>
      <c r="C71" s="809" t="s">
        <v>760</v>
      </c>
      <c r="D71" s="807" t="s">
        <v>560</v>
      </c>
      <c r="E71" s="807"/>
      <c r="F71" s="807">
        <v>1</v>
      </c>
      <c r="G71" s="807"/>
      <c r="H71" s="807">
        <v>50</v>
      </c>
      <c r="I71" s="807">
        <f t="shared" si="4"/>
        <v>50</v>
      </c>
      <c r="J71" s="807"/>
    </row>
    <row r="72" spans="2:10" ht="25.5">
      <c r="B72" s="807"/>
      <c r="C72" s="809" t="s">
        <v>759</v>
      </c>
      <c r="D72" s="807" t="s">
        <v>652</v>
      </c>
      <c r="E72" s="807"/>
      <c r="F72" s="807">
        <v>14.9</v>
      </c>
      <c r="G72" s="807"/>
      <c r="H72" s="807">
        <v>45</v>
      </c>
      <c r="I72" s="807">
        <f t="shared" si="4"/>
        <v>670.5</v>
      </c>
      <c r="J72" s="807"/>
    </row>
    <row r="73" spans="2:10" ht="12.75">
      <c r="B73" s="807"/>
      <c r="C73" s="809" t="s">
        <v>758</v>
      </c>
      <c r="D73" s="807" t="s">
        <v>652</v>
      </c>
      <c r="E73" s="807"/>
      <c r="F73" s="807">
        <v>0.24</v>
      </c>
      <c r="G73" s="807"/>
      <c r="H73" s="807">
        <v>120</v>
      </c>
      <c r="I73" s="807">
        <f t="shared" si="4"/>
        <v>28.799999999999997</v>
      </c>
      <c r="J73" s="807"/>
    </row>
    <row r="74" spans="2:10" ht="25.5">
      <c r="B74" s="807"/>
      <c r="C74" s="809" t="s">
        <v>762</v>
      </c>
      <c r="D74" s="807" t="s">
        <v>652</v>
      </c>
      <c r="E74" s="807"/>
      <c r="F74" s="807">
        <v>0.06</v>
      </c>
      <c r="G74" s="807"/>
      <c r="H74" s="807">
        <v>150</v>
      </c>
      <c r="I74" s="807">
        <f t="shared" si="4"/>
        <v>9</v>
      </c>
      <c r="J74" s="807"/>
    </row>
    <row r="75" spans="2:10" ht="25.5">
      <c r="B75" s="807"/>
      <c r="C75" s="809" t="s">
        <v>763</v>
      </c>
      <c r="D75" s="807" t="s">
        <v>652</v>
      </c>
      <c r="E75" s="807"/>
      <c r="F75" s="807">
        <v>0.87</v>
      </c>
      <c r="G75" s="807"/>
      <c r="H75" s="807">
        <v>400</v>
      </c>
      <c r="I75" s="807">
        <f t="shared" si="4"/>
        <v>348</v>
      </c>
      <c r="J75" s="807"/>
    </row>
    <row r="76" spans="2:10" ht="12.75">
      <c r="B76" s="807" t="s">
        <v>545</v>
      </c>
      <c r="C76" s="809" t="s">
        <v>546</v>
      </c>
      <c r="D76" s="807" t="s">
        <v>514</v>
      </c>
      <c r="E76" s="807"/>
      <c r="F76" s="807">
        <v>2</v>
      </c>
      <c r="G76" s="807"/>
      <c r="H76" s="807">
        <v>1800</v>
      </c>
      <c r="I76" s="807">
        <f>H76*F76</f>
        <v>3600</v>
      </c>
      <c r="J76" s="807"/>
    </row>
    <row r="77" spans="2:10" ht="12.75">
      <c r="B77" s="807"/>
      <c r="C77" s="809" t="s">
        <v>547</v>
      </c>
      <c r="D77" s="807" t="s">
        <v>514</v>
      </c>
      <c r="E77" s="807"/>
      <c r="F77" s="807">
        <v>2</v>
      </c>
      <c r="G77" s="807"/>
      <c r="H77" s="807">
        <v>953</v>
      </c>
      <c r="I77" s="807">
        <f>H77*F77</f>
        <v>1906</v>
      </c>
      <c r="J77" s="807"/>
    </row>
    <row r="78" spans="2:10" ht="25.5">
      <c r="B78" s="807"/>
      <c r="C78" s="809" t="s">
        <v>764</v>
      </c>
      <c r="D78" s="807" t="s">
        <v>514</v>
      </c>
      <c r="E78" s="807"/>
      <c r="F78" s="807">
        <v>4</v>
      </c>
      <c r="G78" s="807"/>
      <c r="H78" s="807">
        <v>70</v>
      </c>
      <c r="I78" s="807">
        <f>H78*F78</f>
        <v>280</v>
      </c>
      <c r="J78" s="807"/>
    </row>
    <row r="79" spans="2:10" ht="12.75">
      <c r="B79" s="807" t="s">
        <v>548</v>
      </c>
      <c r="C79" s="809" t="s">
        <v>549</v>
      </c>
      <c r="D79" s="807" t="s">
        <v>551</v>
      </c>
      <c r="E79" s="807"/>
      <c r="F79" s="807">
        <v>20</v>
      </c>
      <c r="G79" s="807"/>
      <c r="H79" s="807">
        <v>114.5</v>
      </c>
      <c r="I79" s="807">
        <f aca="true" t="shared" si="5" ref="I79:I86">F79*H79</f>
        <v>2290</v>
      </c>
      <c r="J79" s="807"/>
    </row>
    <row r="80" spans="2:10" ht="12.75">
      <c r="B80" s="807"/>
      <c r="C80" s="809" t="s">
        <v>550</v>
      </c>
      <c r="D80" s="807" t="s">
        <v>551</v>
      </c>
      <c r="E80" s="807"/>
      <c r="F80" s="807"/>
      <c r="G80" s="807"/>
      <c r="H80" s="807">
        <v>0</v>
      </c>
      <c r="I80" s="807">
        <f t="shared" si="5"/>
        <v>0</v>
      </c>
      <c r="J80" s="807"/>
    </row>
    <row r="81" spans="2:10" ht="25.5">
      <c r="B81" s="807"/>
      <c r="C81" s="809" t="s">
        <v>765</v>
      </c>
      <c r="D81" s="807" t="s">
        <v>551</v>
      </c>
      <c r="E81" s="807"/>
      <c r="F81" s="807">
        <v>20</v>
      </c>
      <c r="G81" s="807"/>
      <c r="H81" s="807">
        <v>8</v>
      </c>
      <c r="I81" s="807">
        <f t="shared" si="5"/>
        <v>160</v>
      </c>
      <c r="J81" s="807"/>
    </row>
    <row r="82" spans="2:11" ht="12.75">
      <c r="B82" s="807" t="s">
        <v>552</v>
      </c>
      <c r="C82" s="809" t="s">
        <v>553</v>
      </c>
      <c r="D82" s="807" t="s">
        <v>554</v>
      </c>
      <c r="E82" s="807"/>
      <c r="F82" s="807">
        <v>2.8</v>
      </c>
      <c r="G82" s="807"/>
      <c r="H82" s="807">
        <v>80</v>
      </c>
      <c r="I82" s="807">
        <f t="shared" si="5"/>
        <v>224</v>
      </c>
      <c r="J82" s="807"/>
      <c r="K82" t="s">
        <v>766</v>
      </c>
    </row>
    <row r="83" spans="2:10" ht="12.75">
      <c r="B83" s="807" t="s">
        <v>555</v>
      </c>
      <c r="C83" s="809" t="s">
        <v>557</v>
      </c>
      <c r="D83" s="807" t="s">
        <v>556</v>
      </c>
      <c r="E83" s="807"/>
      <c r="F83" s="807">
        <v>11</v>
      </c>
      <c r="G83" s="807"/>
      <c r="H83" s="807">
        <v>400</v>
      </c>
      <c r="I83" s="807">
        <f t="shared" si="5"/>
        <v>4400</v>
      </c>
      <c r="J83" s="807"/>
    </row>
    <row r="84" spans="2:10" ht="12.75">
      <c r="B84" s="807"/>
      <c r="C84" s="809" t="s">
        <v>690</v>
      </c>
      <c r="D84" s="807" t="s">
        <v>544</v>
      </c>
      <c r="E84" s="807"/>
      <c r="F84" s="807">
        <f>0.87*11</f>
        <v>9.57</v>
      </c>
      <c r="G84" s="807"/>
      <c r="H84" s="807">
        <v>5</v>
      </c>
      <c r="I84" s="814">
        <f t="shared" si="5"/>
        <v>47.85</v>
      </c>
      <c r="J84" s="807"/>
    </row>
    <row r="85" spans="2:10" ht="12.75">
      <c r="B85" s="807" t="s">
        <v>558</v>
      </c>
      <c r="C85" s="809" t="s">
        <v>559</v>
      </c>
      <c r="D85" s="807" t="s">
        <v>312</v>
      </c>
      <c r="E85" s="807"/>
      <c r="F85" s="807">
        <v>16</v>
      </c>
      <c r="G85" s="807"/>
      <c r="H85" s="807">
        <v>58</v>
      </c>
      <c r="I85" s="807">
        <f t="shared" si="5"/>
        <v>928</v>
      </c>
      <c r="J85" s="807"/>
    </row>
    <row r="86" spans="2:10" ht="12.75">
      <c r="B86" s="807" t="s">
        <v>563</v>
      </c>
      <c r="C86" s="809" t="s">
        <v>561</v>
      </c>
      <c r="D86" s="807" t="s">
        <v>562</v>
      </c>
      <c r="E86" s="807"/>
      <c r="F86" s="807">
        <v>30</v>
      </c>
      <c r="G86" s="807"/>
      <c r="H86" s="807">
        <v>130</v>
      </c>
      <c r="I86" s="807">
        <f t="shared" si="5"/>
        <v>3900</v>
      </c>
      <c r="J86" s="807"/>
    </row>
    <row r="87" spans="2:10" ht="12.75">
      <c r="B87" s="807"/>
      <c r="C87" s="809"/>
      <c r="D87" s="807"/>
      <c r="E87" s="807"/>
      <c r="F87" s="807"/>
      <c r="G87" s="807"/>
      <c r="H87" s="807"/>
      <c r="I87" s="807"/>
      <c r="J87" s="807"/>
    </row>
    <row r="88" spans="2:10" ht="12.75">
      <c r="B88" s="807"/>
      <c r="C88" s="809"/>
      <c r="D88" s="807"/>
      <c r="E88" s="807"/>
      <c r="F88" s="807"/>
      <c r="G88" s="807"/>
      <c r="H88" s="807"/>
      <c r="I88" s="807"/>
      <c r="J88" s="807"/>
    </row>
    <row r="89" spans="2:10" ht="12.75">
      <c r="B89" s="834"/>
      <c r="C89" s="834"/>
      <c r="D89" s="834"/>
      <c r="E89" s="834"/>
      <c r="F89" s="834"/>
      <c r="G89" s="834"/>
      <c r="H89" s="834"/>
      <c r="I89" s="834">
        <f>SUM(I69:I86)</f>
        <v>23162.149999999998</v>
      </c>
      <c r="J89" s="834"/>
    </row>
    <row r="90" spans="2:10" ht="12.75">
      <c r="B90" s="796" t="s">
        <v>645</v>
      </c>
      <c r="C90" s="801" t="s">
        <v>631</v>
      </c>
      <c r="D90" s="796"/>
      <c r="E90" s="796"/>
      <c r="F90" s="796"/>
      <c r="G90" s="796"/>
      <c r="H90" s="796"/>
      <c r="I90" s="796"/>
      <c r="J90" s="796"/>
    </row>
    <row r="91" spans="2:11" ht="12.75">
      <c r="B91" s="796"/>
      <c r="C91" s="796" t="s">
        <v>632</v>
      </c>
      <c r="D91" s="796" t="s">
        <v>646</v>
      </c>
      <c r="E91" s="796"/>
      <c r="F91" s="796">
        <v>70</v>
      </c>
      <c r="G91" s="796"/>
      <c r="H91" s="796">
        <v>0.2</v>
      </c>
      <c r="I91" s="799">
        <f>9082.5/165.2*0.2*1.202*70</f>
        <v>925.1834745762712</v>
      </c>
      <c r="J91" s="798">
        <f>I91/1440.19/12</f>
        <v>0.053533646866980006</v>
      </c>
      <c r="K91" s="797">
        <v>3</v>
      </c>
    </row>
    <row r="92" spans="2:10" ht="25.5">
      <c r="B92" s="796"/>
      <c r="C92" s="800" t="s">
        <v>647</v>
      </c>
      <c r="D92" s="796" t="s">
        <v>598</v>
      </c>
      <c r="E92" s="796"/>
      <c r="F92" s="796">
        <v>27</v>
      </c>
      <c r="G92" s="796"/>
      <c r="H92" s="796">
        <v>0.19</v>
      </c>
      <c r="I92" s="799">
        <f>9082.5/165.2*0.19*1.202*27</f>
        <v>339.0136588983051</v>
      </c>
      <c r="J92" s="798">
        <f>I92/1440.19/12</f>
        <v>0.019616257744829103</v>
      </c>
    </row>
    <row r="93" spans="2:10" ht="12.75">
      <c r="B93" s="796"/>
      <c r="C93" s="800" t="s">
        <v>767</v>
      </c>
      <c r="D93" s="796" t="s">
        <v>119</v>
      </c>
      <c r="E93" s="796"/>
      <c r="F93" s="796">
        <v>8</v>
      </c>
      <c r="G93" s="796"/>
      <c r="H93" s="796">
        <v>3.24</v>
      </c>
      <c r="I93" s="799">
        <f>9082.5/165.2*3.24*1.202*8</f>
        <v>1712.911118644068</v>
      </c>
      <c r="J93" s="798"/>
    </row>
    <row r="94" spans="2:10" ht="25.5">
      <c r="B94" s="796"/>
      <c r="C94" s="800" t="s">
        <v>768</v>
      </c>
      <c r="D94" s="796"/>
      <c r="E94" s="796"/>
      <c r="F94" s="796">
        <v>5</v>
      </c>
      <c r="G94" s="796"/>
      <c r="H94" s="796">
        <v>0.44</v>
      </c>
      <c r="I94" s="799">
        <f>9082.5/165.2*0.44*1.202*5</f>
        <v>145.38597457627117</v>
      </c>
      <c r="J94" s="798"/>
    </row>
    <row r="95" spans="2:10" ht="12.75">
      <c r="B95" s="796"/>
      <c r="C95" s="800" t="s">
        <v>769</v>
      </c>
      <c r="D95" s="796"/>
      <c r="E95" s="796"/>
      <c r="F95" s="796">
        <v>50</v>
      </c>
      <c r="G95" s="796"/>
      <c r="H95" s="796">
        <v>0.26</v>
      </c>
      <c r="I95" s="799">
        <f>9082.5/165.2*0.26*1.202*50</f>
        <v>859.0989406779661</v>
      </c>
      <c r="J95" s="798"/>
    </row>
    <row r="96" spans="2:10" ht="12.75">
      <c r="B96" s="796"/>
      <c r="C96" s="796" t="s">
        <v>648</v>
      </c>
      <c r="D96" s="796"/>
      <c r="E96" s="796"/>
      <c r="F96" s="796">
        <v>70</v>
      </c>
      <c r="G96" s="796"/>
      <c r="H96" s="796">
        <v>9</v>
      </c>
      <c r="I96" s="796">
        <f>F96*H96</f>
        <v>630</v>
      </c>
      <c r="J96" s="799"/>
    </row>
    <row r="97" spans="2:10" ht="12.75">
      <c r="B97" s="796"/>
      <c r="C97" s="796" t="s">
        <v>649</v>
      </c>
      <c r="D97" s="796" t="s">
        <v>650</v>
      </c>
      <c r="E97" s="796"/>
      <c r="F97" s="796">
        <v>27</v>
      </c>
      <c r="G97" s="796"/>
      <c r="H97" s="796">
        <v>45.6</v>
      </c>
      <c r="I97" s="796">
        <f>F97*H97</f>
        <v>1231.2</v>
      </c>
      <c r="J97" s="798">
        <f>I97/1440.19/12</f>
        <v>0.0712406001985849</v>
      </c>
    </row>
    <row r="98" spans="2:10" ht="12.75">
      <c r="B98" s="796"/>
      <c r="C98" s="796" t="s">
        <v>770</v>
      </c>
      <c r="D98" s="796" t="s">
        <v>771</v>
      </c>
      <c r="E98" s="796"/>
      <c r="F98" s="796">
        <v>5</v>
      </c>
      <c r="G98" s="796"/>
      <c r="H98" s="796">
        <v>40</v>
      </c>
      <c r="I98" s="796">
        <f>F98*H98</f>
        <v>200</v>
      </c>
      <c r="J98" s="798"/>
    </row>
    <row r="99" spans="2:10" ht="12.75">
      <c r="B99" s="796"/>
      <c r="C99" s="796" t="s">
        <v>772</v>
      </c>
      <c r="D99" s="796"/>
      <c r="E99" s="796"/>
      <c r="F99" s="796">
        <v>50</v>
      </c>
      <c r="G99" s="796"/>
      <c r="H99" s="796">
        <v>38</v>
      </c>
      <c r="I99" s="796">
        <f>F99*H99</f>
        <v>1900</v>
      </c>
      <c r="J99" s="798"/>
    </row>
    <row r="100" spans="2:14" ht="12.75">
      <c r="B100" s="796"/>
      <c r="C100" s="801" t="s">
        <v>681</v>
      </c>
      <c r="D100" s="796"/>
      <c r="E100" s="796"/>
      <c r="F100" s="796"/>
      <c r="G100" s="796"/>
      <c r="H100" s="796"/>
      <c r="I100" s="878">
        <f>SUM(I91:I95)</f>
        <v>3981.593167372882</v>
      </c>
      <c r="J100" s="799"/>
      <c r="K100" s="939"/>
      <c r="L100" s="918"/>
      <c r="M100" s="918"/>
      <c r="N100" s="918"/>
    </row>
    <row r="101" spans="2:14" ht="12.75">
      <c r="B101" s="796"/>
      <c r="C101" s="801" t="s">
        <v>682</v>
      </c>
      <c r="D101" s="796"/>
      <c r="E101" s="796"/>
      <c r="F101" s="796"/>
      <c r="G101" s="796"/>
      <c r="H101" s="796"/>
      <c r="I101" s="801">
        <f>SUM(I96:I99)</f>
        <v>3961.2</v>
      </c>
      <c r="J101" s="799"/>
      <c r="K101" s="939"/>
      <c r="L101" s="918"/>
      <c r="M101" s="918"/>
      <c r="N101" s="918"/>
    </row>
    <row r="102" spans="2:12" ht="12.75">
      <c r="B102" s="796"/>
      <c r="C102" s="796" t="s">
        <v>683</v>
      </c>
      <c r="D102" s="796"/>
      <c r="E102" s="796"/>
      <c r="F102" s="796"/>
      <c r="G102" s="796"/>
      <c r="H102" s="796"/>
      <c r="I102" s="799">
        <f>I56+I89+I101</f>
        <v>27771.46</v>
      </c>
      <c r="J102" s="799"/>
      <c r="K102" s="939" t="s">
        <v>727</v>
      </c>
      <c r="L102" s="918"/>
    </row>
    <row r="103" spans="2:11" ht="12.75">
      <c r="B103" s="796"/>
      <c r="C103" s="833" t="s">
        <v>684</v>
      </c>
      <c r="D103" s="796"/>
      <c r="E103" s="796"/>
      <c r="F103" s="796"/>
      <c r="G103" s="796"/>
      <c r="H103" s="796"/>
      <c r="I103" s="799">
        <f>I67+I100</f>
        <v>24790.361189394676</v>
      </c>
      <c r="J103" s="799"/>
      <c r="K103">
        <v>3306</v>
      </c>
    </row>
    <row r="104" spans="2:11" ht="12.75">
      <c r="B104" s="796"/>
      <c r="C104" s="833" t="s">
        <v>689</v>
      </c>
      <c r="D104" s="796"/>
      <c r="E104" s="796"/>
      <c r="F104" s="796"/>
      <c r="G104" s="796"/>
      <c r="H104" s="796"/>
      <c r="I104" s="799"/>
      <c r="J104" s="799"/>
      <c r="K104">
        <v>521</v>
      </c>
    </row>
    <row r="105" spans="2:10" ht="12.75">
      <c r="B105" s="796"/>
      <c r="C105" s="833"/>
      <c r="D105" s="796"/>
      <c r="E105" s="796"/>
      <c r="F105" s="796"/>
      <c r="G105" s="796"/>
      <c r="H105" s="796"/>
      <c r="I105" s="799"/>
      <c r="J105" s="799"/>
    </row>
    <row r="106" spans="2:10" ht="25.5">
      <c r="B106" s="807"/>
      <c r="C106" s="808" t="s">
        <v>692</v>
      </c>
      <c r="D106" s="807"/>
      <c r="E106" s="807"/>
      <c r="F106" s="807"/>
      <c r="G106" s="807"/>
      <c r="H106" s="807"/>
      <c r="I106" s="807"/>
      <c r="J106" s="807"/>
    </row>
    <row r="107" spans="2:13" ht="38.25">
      <c r="B107" s="807" t="s">
        <v>565</v>
      </c>
      <c r="C107" s="809" t="s">
        <v>564</v>
      </c>
      <c r="D107" s="807"/>
      <c r="E107" s="807"/>
      <c r="F107" s="807"/>
      <c r="G107" s="807"/>
      <c r="H107" s="807"/>
      <c r="I107" s="807"/>
      <c r="J107" s="807"/>
      <c r="L107" s="792" t="s">
        <v>636</v>
      </c>
      <c r="M107" s="792" t="s">
        <v>638</v>
      </c>
    </row>
    <row r="108" spans="2:13" ht="12.75">
      <c r="B108" s="807"/>
      <c r="C108" s="809" t="s">
        <v>567</v>
      </c>
      <c r="D108" s="807" t="s">
        <v>566</v>
      </c>
      <c r="E108" s="807"/>
      <c r="F108" s="807">
        <v>30</v>
      </c>
      <c r="G108" s="807"/>
      <c r="H108" s="807">
        <v>0.33</v>
      </c>
      <c r="I108" s="814">
        <f>(8347.5+5250)/165.2*0.33*1.202*30</f>
        <v>979.4644703389831</v>
      </c>
      <c r="J108" s="807"/>
      <c r="K108">
        <v>3</v>
      </c>
      <c r="L108" t="s">
        <v>637</v>
      </c>
      <c r="M108" t="s">
        <v>639</v>
      </c>
    </row>
    <row r="109" spans="2:13" ht="12.75">
      <c r="B109" s="807"/>
      <c r="C109" s="809" t="s">
        <v>568</v>
      </c>
      <c r="D109" s="807" t="s">
        <v>566</v>
      </c>
      <c r="E109" s="807"/>
      <c r="F109" s="807">
        <v>21</v>
      </c>
      <c r="G109" s="807"/>
      <c r="H109" s="807">
        <v>0.54</v>
      </c>
      <c r="I109" s="814">
        <f>(8347.5+5250)/165.2*0.54*1.202*21</f>
        <v>1121.9320296610172</v>
      </c>
      <c r="J109" s="807"/>
      <c r="L109" t="s">
        <v>537</v>
      </c>
      <c r="M109" t="s">
        <v>640</v>
      </c>
    </row>
    <row r="110" spans="2:13" ht="12.75">
      <c r="B110" s="807"/>
      <c r="C110" s="809" t="s">
        <v>641</v>
      </c>
      <c r="D110" s="807"/>
      <c r="E110" s="807"/>
      <c r="F110" s="807">
        <v>7</v>
      </c>
      <c r="G110" s="807"/>
      <c r="H110" s="807">
        <v>0.93</v>
      </c>
      <c r="I110" s="814">
        <f>(8347.5+5250)/165.2*0.93*1.202*7</f>
        <v>644.072091101695</v>
      </c>
      <c r="J110" s="807"/>
      <c r="L110">
        <v>2.14</v>
      </c>
      <c r="M110" t="s">
        <v>642</v>
      </c>
    </row>
    <row r="111" spans="2:12" ht="51">
      <c r="B111" s="807" t="s">
        <v>569</v>
      </c>
      <c r="C111" s="809" t="s">
        <v>570</v>
      </c>
      <c r="D111" s="807" t="s">
        <v>571</v>
      </c>
      <c r="E111" s="807"/>
      <c r="F111" s="807">
        <v>200</v>
      </c>
      <c r="G111" s="807"/>
      <c r="H111" s="807">
        <v>0.9</v>
      </c>
      <c r="I111" s="814">
        <f>(8347.5+8347.5)/165.2*0.9*1.202*200</f>
        <v>21865.19491525424</v>
      </c>
      <c r="J111" s="807"/>
      <c r="K111">
        <v>2.4</v>
      </c>
      <c r="L111" s="792" t="s">
        <v>644</v>
      </c>
    </row>
    <row r="112" spans="2:12" ht="76.5">
      <c r="B112" s="807" t="s">
        <v>572</v>
      </c>
      <c r="C112" s="809" t="s">
        <v>573</v>
      </c>
      <c r="D112" s="810" t="s">
        <v>574</v>
      </c>
      <c r="E112" s="807"/>
      <c r="F112" s="807">
        <v>3</v>
      </c>
      <c r="G112" s="807"/>
      <c r="H112" s="807">
        <v>3.3</v>
      </c>
      <c r="I112" s="814">
        <f>(8347.5+8347.5)/165.2*3.3*1.202*3</f>
        <v>1202.585720338983</v>
      </c>
      <c r="J112" s="807"/>
      <c r="K112">
        <v>2.4</v>
      </c>
      <c r="L112" s="792" t="s">
        <v>643</v>
      </c>
    </row>
    <row r="113" spans="2:11" ht="38.25">
      <c r="B113" s="807" t="s">
        <v>575</v>
      </c>
      <c r="C113" s="809" t="s">
        <v>576</v>
      </c>
      <c r="D113" s="807" t="s">
        <v>577</v>
      </c>
      <c r="E113" s="807"/>
      <c r="F113" s="807">
        <v>1</v>
      </c>
      <c r="G113" s="807"/>
      <c r="H113" s="807">
        <v>12</v>
      </c>
      <c r="I113" s="814">
        <f>(8347.5+8347.5)/165.2*12*1.202</f>
        <v>1457.6796610169492</v>
      </c>
      <c r="J113" s="807"/>
      <c r="K113">
        <v>2.3</v>
      </c>
    </row>
    <row r="114" spans="2:12" ht="25.5">
      <c r="B114" s="807" t="s">
        <v>579</v>
      </c>
      <c r="C114" s="809" t="s">
        <v>578</v>
      </c>
      <c r="D114" s="807"/>
      <c r="E114" s="807"/>
      <c r="F114" s="807">
        <v>35</v>
      </c>
      <c r="G114" s="807"/>
      <c r="H114" s="807">
        <v>0.55</v>
      </c>
      <c r="I114" s="814">
        <f>8347.5/165.2*0.55*1.202*35</f>
        <v>1169.180561440678</v>
      </c>
      <c r="J114" s="807"/>
      <c r="K114">
        <v>3</v>
      </c>
      <c r="L114" s="792" t="s">
        <v>621</v>
      </c>
    </row>
    <row r="115" spans="2:12" ht="89.25">
      <c r="B115" s="807" t="s">
        <v>580</v>
      </c>
      <c r="C115" s="809" t="s">
        <v>581</v>
      </c>
      <c r="D115" s="807" t="s">
        <v>562</v>
      </c>
      <c r="E115" s="807"/>
      <c r="F115" s="807">
        <v>15</v>
      </c>
      <c r="G115" s="807"/>
      <c r="H115" s="807">
        <v>0.66</v>
      </c>
      <c r="I115" s="814">
        <f>8347.5/165.2*0.66*1.202*15</f>
        <v>601.2928601694915</v>
      </c>
      <c r="J115" s="807"/>
      <c r="K115">
        <v>2.3</v>
      </c>
      <c r="L115" s="792" t="s">
        <v>633</v>
      </c>
    </row>
    <row r="116" spans="2:12" ht="25.5">
      <c r="B116" s="807" t="s">
        <v>584</v>
      </c>
      <c r="C116" s="809" t="s">
        <v>582</v>
      </c>
      <c r="D116" s="807" t="s">
        <v>583</v>
      </c>
      <c r="E116" s="807"/>
      <c r="F116" s="807"/>
      <c r="G116" s="807"/>
      <c r="H116" s="807">
        <v>0.36</v>
      </c>
      <c r="I116" s="807"/>
      <c r="J116" s="807"/>
      <c r="K116">
        <v>2.3</v>
      </c>
      <c r="L116" s="792" t="s">
        <v>622</v>
      </c>
    </row>
    <row r="117" spans="2:12" ht="76.5">
      <c r="B117" s="807" t="s">
        <v>585</v>
      </c>
      <c r="C117" s="811" t="s">
        <v>660</v>
      </c>
      <c r="D117" s="812" t="s">
        <v>583</v>
      </c>
      <c r="E117" s="812"/>
      <c r="F117" s="812">
        <v>4</v>
      </c>
      <c r="G117" s="812"/>
      <c r="H117" s="812">
        <v>0.49</v>
      </c>
      <c r="I117" s="813">
        <f>7914.8*1.059*2/165.2*4*0.49*1.342*1.25</f>
        <v>333.63719254576273</v>
      </c>
      <c r="J117" s="813">
        <f>I117/1440.19/12</f>
        <v>0.01930516069325128</v>
      </c>
      <c r="K117" s="804">
        <v>2.3</v>
      </c>
      <c r="L117" s="805" t="s">
        <v>634</v>
      </c>
    </row>
    <row r="118" spans="2:12" ht="12.75">
      <c r="B118" s="807" t="s">
        <v>661</v>
      </c>
      <c r="C118" s="811"/>
      <c r="D118" s="812"/>
      <c r="E118" s="812"/>
      <c r="F118" s="812"/>
      <c r="G118" s="812"/>
      <c r="H118" s="812">
        <v>1.5</v>
      </c>
      <c r="I118" s="813">
        <f>7914.8*1.059*2*1.342/165.2</f>
        <v>136.178445937046</v>
      </c>
      <c r="J118" s="813"/>
      <c r="K118" s="804"/>
      <c r="L118" s="805"/>
    </row>
    <row r="119" spans="2:12" ht="12.75">
      <c r="B119" s="807"/>
      <c r="C119" s="811" t="s">
        <v>655</v>
      </c>
      <c r="D119" s="812" t="s">
        <v>654</v>
      </c>
      <c r="E119" s="812"/>
      <c r="F119" s="812">
        <v>3</v>
      </c>
      <c r="G119" s="812"/>
      <c r="H119" s="812">
        <v>154</v>
      </c>
      <c r="I119" s="813">
        <f>F119*H119</f>
        <v>462</v>
      </c>
      <c r="J119" s="813">
        <f>I119/1440.19/12</f>
        <v>0.026732583895180493</v>
      </c>
      <c r="K119" s="804"/>
      <c r="L119" s="805"/>
    </row>
    <row r="120" spans="2:12" ht="12.75">
      <c r="B120" s="807"/>
      <c r="C120" s="811" t="s">
        <v>656</v>
      </c>
      <c r="D120" s="812" t="s">
        <v>652</v>
      </c>
      <c r="E120" s="812"/>
      <c r="F120" s="812">
        <v>0.05</v>
      </c>
      <c r="G120" s="812"/>
      <c r="H120" s="812">
        <v>150</v>
      </c>
      <c r="I120" s="813">
        <f>F120*H120</f>
        <v>7.5</v>
      </c>
      <c r="J120" s="813">
        <f>I120/1440.19/12</f>
        <v>0.0004339705177789041</v>
      </c>
      <c r="K120" s="804"/>
      <c r="L120" s="805"/>
    </row>
    <row r="121" spans="2:11" ht="12.75">
      <c r="B121" s="807" t="s">
        <v>588</v>
      </c>
      <c r="C121" s="809" t="s">
        <v>586</v>
      </c>
      <c r="D121" s="807" t="s">
        <v>587</v>
      </c>
      <c r="E121" s="807"/>
      <c r="F121" s="807"/>
      <c r="G121" s="807"/>
      <c r="H121" s="807">
        <v>1.01</v>
      </c>
      <c r="I121" s="807"/>
      <c r="J121" s="807"/>
      <c r="K121">
        <v>3</v>
      </c>
    </row>
    <row r="122" spans="2:10" ht="12.75">
      <c r="B122" s="807" t="s">
        <v>591</v>
      </c>
      <c r="C122" s="809" t="s">
        <v>589</v>
      </c>
      <c r="D122" s="807" t="s">
        <v>590</v>
      </c>
      <c r="E122" s="807"/>
      <c r="F122" s="807"/>
      <c r="G122" s="807"/>
      <c r="H122" s="807">
        <v>1</v>
      </c>
      <c r="I122" s="807"/>
      <c r="J122" s="807"/>
    </row>
    <row r="123" spans="2:11" ht="12.75">
      <c r="B123" s="807" t="s">
        <v>594</v>
      </c>
      <c r="C123" s="809" t="s">
        <v>592</v>
      </c>
      <c r="D123" s="807" t="s">
        <v>593</v>
      </c>
      <c r="E123" s="807"/>
      <c r="F123" s="807"/>
      <c r="G123" s="807"/>
      <c r="H123" s="807">
        <v>0.52</v>
      </c>
      <c r="I123" s="807"/>
      <c r="J123" s="807"/>
      <c r="K123">
        <v>3</v>
      </c>
    </row>
    <row r="124" spans="2:12" ht="12.75">
      <c r="B124" s="807" t="s">
        <v>597</v>
      </c>
      <c r="C124" s="809" t="s">
        <v>595</v>
      </c>
      <c r="D124" s="807" t="s">
        <v>596</v>
      </c>
      <c r="E124" s="807"/>
      <c r="F124" s="807"/>
      <c r="G124" s="807"/>
      <c r="H124" s="807">
        <v>0.78</v>
      </c>
      <c r="I124" s="807"/>
      <c r="J124" s="807"/>
      <c r="K124">
        <v>4</v>
      </c>
      <c r="L124" t="s">
        <v>628</v>
      </c>
    </row>
    <row r="125" spans="2:12" ht="25.5">
      <c r="B125" s="807" t="s">
        <v>597</v>
      </c>
      <c r="C125" s="809" t="s">
        <v>599</v>
      </c>
      <c r="D125" s="807" t="s">
        <v>598</v>
      </c>
      <c r="E125" s="807"/>
      <c r="F125" s="807"/>
      <c r="G125" s="807"/>
      <c r="H125" s="807">
        <v>0.47</v>
      </c>
      <c r="I125" s="807"/>
      <c r="J125" s="807"/>
      <c r="K125">
        <v>4</v>
      </c>
      <c r="L125" t="s">
        <v>627</v>
      </c>
    </row>
    <row r="126" spans="2:12" ht="12.75">
      <c r="B126" s="807"/>
      <c r="C126" s="809" t="s">
        <v>600</v>
      </c>
      <c r="D126" s="807"/>
      <c r="E126" s="807"/>
      <c r="F126" s="807"/>
      <c r="G126" s="807"/>
      <c r="H126" s="807">
        <v>1.4</v>
      </c>
      <c r="I126" s="807"/>
      <c r="J126" s="807"/>
      <c r="L126" t="s">
        <v>627</v>
      </c>
    </row>
    <row r="127" spans="2:12" ht="25.5">
      <c r="B127" s="807"/>
      <c r="C127" s="809" t="s">
        <v>601</v>
      </c>
      <c r="D127" s="807"/>
      <c r="E127" s="807"/>
      <c r="F127" s="807"/>
      <c r="G127" s="807"/>
      <c r="H127" s="807">
        <v>0.15</v>
      </c>
      <c r="I127" s="807"/>
      <c r="J127" s="807"/>
      <c r="L127" t="s">
        <v>626</v>
      </c>
    </row>
    <row r="128" spans="2:12" ht="38.25">
      <c r="B128" s="807" t="s">
        <v>629</v>
      </c>
      <c r="C128" s="809" t="s">
        <v>630</v>
      </c>
      <c r="D128" s="807" t="s">
        <v>583</v>
      </c>
      <c r="E128" s="807"/>
      <c r="F128" s="807">
        <v>1.5</v>
      </c>
      <c r="G128" s="807"/>
      <c r="H128" s="807">
        <v>1.378</v>
      </c>
      <c r="I128" s="814">
        <f>8381.7/165.2*1.5*1.378*1.342</f>
        <v>140.7391947566586</v>
      </c>
      <c r="J128" s="814">
        <f>I128/1440.19/12</f>
        <v>0.008143554829377756</v>
      </c>
      <c r="K128">
        <v>2.3</v>
      </c>
      <c r="L128" s="792" t="s">
        <v>624</v>
      </c>
    </row>
    <row r="129" spans="2:12" ht="12.75">
      <c r="B129" s="807"/>
      <c r="C129" s="809" t="s">
        <v>651</v>
      </c>
      <c r="D129" s="807" t="s">
        <v>583</v>
      </c>
      <c r="E129" s="807"/>
      <c r="F129" s="807">
        <v>1.5</v>
      </c>
      <c r="G129" s="807"/>
      <c r="H129" s="807">
        <v>350</v>
      </c>
      <c r="I129" s="814">
        <f>F129*H129</f>
        <v>525</v>
      </c>
      <c r="J129" s="814">
        <f>I129/1440.19/12</f>
        <v>0.030377936244523288</v>
      </c>
      <c r="L129" s="792"/>
    </row>
    <row r="130" spans="2:12" ht="38.25">
      <c r="B130" s="807" t="s">
        <v>602</v>
      </c>
      <c r="C130" s="809" t="s">
        <v>603</v>
      </c>
      <c r="D130" s="807" t="s">
        <v>604</v>
      </c>
      <c r="E130" s="807"/>
      <c r="F130" s="807"/>
      <c r="G130" s="807"/>
      <c r="H130" s="807">
        <v>0.95</v>
      </c>
      <c r="I130" s="807"/>
      <c r="J130" s="807"/>
      <c r="K130">
        <v>2.4</v>
      </c>
      <c r="L130" s="792" t="s">
        <v>625</v>
      </c>
    </row>
    <row r="131" spans="2:11" ht="25.5">
      <c r="B131" s="807" t="s">
        <v>605</v>
      </c>
      <c r="C131" s="811" t="s">
        <v>606</v>
      </c>
      <c r="D131" s="812" t="s">
        <v>583</v>
      </c>
      <c r="E131" s="812"/>
      <c r="F131" s="812">
        <v>0.75</v>
      </c>
      <c r="G131" s="812"/>
      <c r="H131" s="812">
        <v>1.08</v>
      </c>
      <c r="I131" s="813">
        <f>7914.8*1.059*2/165.2*0.75*1.08*1.342</f>
        <v>110.30454120900727</v>
      </c>
      <c r="J131" s="815">
        <f>I131/1440.19/12</f>
        <v>0.006382522514911647</v>
      </c>
      <c r="K131" s="804">
        <v>4</v>
      </c>
    </row>
    <row r="132" spans="2:12" ht="38.25">
      <c r="B132" s="807"/>
      <c r="C132" s="809" t="s">
        <v>607</v>
      </c>
      <c r="D132" s="810" t="s">
        <v>635</v>
      </c>
      <c r="E132" s="807"/>
      <c r="F132" s="807">
        <v>0.0375</v>
      </c>
      <c r="G132" s="807"/>
      <c r="H132" s="807"/>
      <c r="I132" s="807"/>
      <c r="J132" s="807"/>
      <c r="L132" s="792" t="s">
        <v>620</v>
      </c>
    </row>
    <row r="133" spans="2:12" ht="12.75">
      <c r="B133" s="807" t="s">
        <v>661</v>
      </c>
      <c r="C133" s="811"/>
      <c r="D133" s="811"/>
      <c r="E133" s="812"/>
      <c r="F133" s="812"/>
      <c r="G133" s="812"/>
      <c r="H133" s="812">
        <v>1.5</v>
      </c>
      <c r="I133" s="813">
        <f>7914.8*1.059*2*1.342/165.2</f>
        <v>136.178445937046</v>
      </c>
      <c r="J133" s="815">
        <f aca="true" t="shared" si="6" ref="J133:J138">I133/1440.19/12</f>
        <v>0.007879657425816849</v>
      </c>
      <c r="L133" s="792"/>
    </row>
    <row r="134" spans="2:12" ht="12.75">
      <c r="B134" s="807"/>
      <c r="C134" s="811" t="s">
        <v>651</v>
      </c>
      <c r="D134" s="811" t="s">
        <v>653</v>
      </c>
      <c r="E134" s="812"/>
      <c r="F134" s="812">
        <v>0.025</v>
      </c>
      <c r="G134" s="812"/>
      <c r="H134" s="812">
        <v>7500</v>
      </c>
      <c r="I134" s="812">
        <f>0.025*7500</f>
        <v>187.5</v>
      </c>
      <c r="J134" s="815">
        <f t="shared" si="6"/>
        <v>0.010849262944472604</v>
      </c>
      <c r="K134" s="792"/>
      <c r="L134" s="792"/>
    </row>
    <row r="135" spans="2:13" ht="38.25">
      <c r="B135" s="807" t="s">
        <v>608</v>
      </c>
      <c r="C135" s="811" t="s">
        <v>659</v>
      </c>
      <c r="D135" s="811" t="s">
        <v>609</v>
      </c>
      <c r="E135" s="812"/>
      <c r="F135" s="812">
        <v>6.4</v>
      </c>
      <c r="G135" s="812"/>
      <c r="H135" s="812">
        <v>0.53</v>
      </c>
      <c r="I135" s="813">
        <f>8381.7/165.2*6.4*0.53*1.342</f>
        <v>230.9566272929783</v>
      </c>
      <c r="J135" s="815">
        <f t="shared" si="6"/>
        <v>0.013363782284107091</v>
      </c>
      <c r="K135" s="792"/>
      <c r="L135" s="792" t="s">
        <v>619</v>
      </c>
      <c r="M135" s="792" t="s">
        <v>623</v>
      </c>
    </row>
    <row r="136" spans="2:13" ht="12.75">
      <c r="B136" s="807" t="s">
        <v>661</v>
      </c>
      <c r="C136" s="811"/>
      <c r="D136" s="811"/>
      <c r="E136" s="812"/>
      <c r="F136" s="812"/>
      <c r="G136" s="812"/>
      <c r="H136" s="812">
        <v>1.5</v>
      </c>
      <c r="I136" s="813">
        <f>7914.8*1.059*2*1.342/165.2</f>
        <v>136.178445937046</v>
      </c>
      <c r="J136" s="815">
        <f t="shared" si="6"/>
        <v>0.007879657425816849</v>
      </c>
      <c r="K136" s="792"/>
      <c r="L136" s="792"/>
      <c r="M136" s="792"/>
    </row>
    <row r="137" spans="2:13" ht="12.75">
      <c r="B137" s="807"/>
      <c r="C137" s="811" t="s">
        <v>651</v>
      </c>
      <c r="D137" s="811" t="s">
        <v>652</v>
      </c>
      <c r="E137" s="812"/>
      <c r="F137" s="812">
        <v>3.66</v>
      </c>
      <c r="G137" s="812"/>
      <c r="H137" s="812">
        <v>75</v>
      </c>
      <c r="I137" s="813">
        <f>F137*H137</f>
        <v>274.5</v>
      </c>
      <c r="J137" s="815">
        <f t="shared" si="6"/>
        <v>0.01588332095070789</v>
      </c>
      <c r="K137" s="792"/>
      <c r="L137" s="792"/>
      <c r="M137" s="792"/>
    </row>
    <row r="138" spans="2:13" ht="38.25">
      <c r="B138" s="807" t="s">
        <v>662</v>
      </c>
      <c r="C138" s="811" t="s">
        <v>663</v>
      </c>
      <c r="D138" s="811"/>
      <c r="E138" s="812"/>
      <c r="F138" s="812"/>
      <c r="G138" s="812"/>
      <c r="H138" s="812">
        <v>4</v>
      </c>
      <c r="I138" s="813">
        <f>7914.8*1.059*2*1.342/165.2*4/3*2</f>
        <v>363.14252249878933</v>
      </c>
      <c r="J138" s="815">
        <f t="shared" si="6"/>
        <v>0.021012419802178262</v>
      </c>
      <c r="K138" s="792"/>
      <c r="L138" s="792"/>
      <c r="M138" s="792"/>
    </row>
    <row r="139" spans="2:11" ht="12.75">
      <c r="B139" s="807"/>
      <c r="C139" s="816" t="s">
        <v>610</v>
      </c>
      <c r="D139" s="807" t="s">
        <v>611</v>
      </c>
      <c r="E139" s="807"/>
      <c r="F139" s="807"/>
      <c r="G139" s="807"/>
      <c r="H139" s="807"/>
      <c r="I139" s="807"/>
      <c r="J139" s="817"/>
      <c r="K139" s="792"/>
    </row>
    <row r="140" spans="2:12" ht="38.25">
      <c r="B140" s="810" t="s">
        <v>613</v>
      </c>
      <c r="C140" s="809" t="s">
        <v>612</v>
      </c>
      <c r="D140" s="807" t="s">
        <v>583</v>
      </c>
      <c r="E140" s="807"/>
      <c r="F140" s="807"/>
      <c r="G140" s="807"/>
      <c r="H140" s="807">
        <v>2.38</v>
      </c>
      <c r="I140" s="807"/>
      <c r="J140" s="807"/>
      <c r="L140" s="792" t="s">
        <v>617</v>
      </c>
    </row>
    <row r="141" spans="2:13" ht="76.5">
      <c r="B141" s="807" t="s">
        <v>615</v>
      </c>
      <c r="C141" s="809" t="s">
        <v>614</v>
      </c>
      <c r="D141" s="807" t="s">
        <v>583</v>
      </c>
      <c r="E141" s="807"/>
      <c r="F141" s="807"/>
      <c r="G141" s="807"/>
      <c r="H141" s="807">
        <v>0.082</v>
      </c>
      <c r="I141" s="807"/>
      <c r="J141" s="807"/>
      <c r="L141" s="792" t="s">
        <v>616</v>
      </c>
      <c r="M141" s="792" t="s">
        <v>618</v>
      </c>
    </row>
    <row r="142" spans="2:10" ht="12.75">
      <c r="B142" s="807"/>
      <c r="C142" s="807"/>
      <c r="D142" s="807"/>
      <c r="E142" s="807"/>
      <c r="F142" s="807"/>
      <c r="G142" s="807"/>
      <c r="H142" s="807"/>
      <c r="I142" s="807"/>
      <c r="J142" s="807"/>
    </row>
    <row r="143" spans="2:10" ht="25.5">
      <c r="B143" s="807"/>
      <c r="C143" s="811" t="s">
        <v>658</v>
      </c>
      <c r="D143" s="807"/>
      <c r="E143" s="807"/>
      <c r="F143" s="807"/>
      <c r="G143" s="807"/>
      <c r="H143" s="807"/>
      <c r="I143" s="807"/>
      <c r="J143" s="807"/>
    </row>
    <row r="144" spans="2:10" ht="12.75">
      <c r="B144" s="807"/>
      <c r="C144" s="811" t="s">
        <v>657</v>
      </c>
      <c r="D144" s="807"/>
      <c r="E144" s="807"/>
      <c r="F144" s="807"/>
      <c r="G144" s="807"/>
      <c r="H144" s="807"/>
      <c r="I144" s="807"/>
      <c r="J144" s="807"/>
    </row>
    <row r="145" spans="2:11" ht="56.25">
      <c r="B145" s="807"/>
      <c r="C145" s="836" t="s">
        <v>664</v>
      </c>
      <c r="D145" s="807"/>
      <c r="E145" s="807"/>
      <c r="F145" s="807"/>
      <c r="G145" s="807"/>
      <c r="H145" s="447"/>
      <c r="I145" s="235"/>
      <c r="J145" s="827"/>
      <c r="K145" s="1" t="s">
        <v>757</v>
      </c>
    </row>
    <row r="146" spans="2:12" ht="12.75">
      <c r="B146" s="812" t="s">
        <v>673</v>
      </c>
      <c r="C146" s="845" t="s">
        <v>756</v>
      </c>
      <c r="D146" s="812" t="s">
        <v>665</v>
      </c>
      <c r="E146" s="812"/>
      <c r="F146" s="812">
        <v>1773</v>
      </c>
      <c r="G146" s="812"/>
      <c r="H146" s="812">
        <v>2.6</v>
      </c>
      <c r="I146" s="812"/>
      <c r="J146" s="813">
        <f>9082.5*1.06*1.202/165.5*2.6*1773/1000*2</f>
        <v>644.6586592147431</v>
      </c>
      <c r="K146">
        <v>2.6</v>
      </c>
      <c r="L146" t="s">
        <v>671</v>
      </c>
    </row>
    <row r="147" spans="2:12" ht="12.75">
      <c r="B147" s="812"/>
      <c r="C147" s="845" t="s">
        <v>666</v>
      </c>
      <c r="D147" s="845" t="s">
        <v>667</v>
      </c>
      <c r="E147" s="812"/>
      <c r="F147" s="812">
        <v>46275</v>
      </c>
      <c r="G147" s="812"/>
      <c r="H147" s="812">
        <v>0.24</v>
      </c>
      <c r="I147" s="812"/>
      <c r="J147" s="813">
        <f>9082.5*1.06*1.202/165.5*0.24*46275/100*2</f>
        <v>15531.214085728096</v>
      </c>
      <c r="K147">
        <v>0.24</v>
      </c>
      <c r="L147" t="s">
        <v>672</v>
      </c>
    </row>
    <row r="148" spans="2:12" ht="22.5">
      <c r="B148" s="812"/>
      <c r="C148" s="836" t="s">
        <v>668</v>
      </c>
      <c r="D148" s="812" t="s">
        <v>669</v>
      </c>
      <c r="E148" s="812"/>
      <c r="F148" s="812">
        <v>11307.05</v>
      </c>
      <c r="G148" s="812"/>
      <c r="H148" s="812">
        <v>3</v>
      </c>
      <c r="I148" s="812"/>
      <c r="J148" s="813">
        <f>9082.5*1.06*1.202/165.5*3*11307.05/1000*2</f>
        <v>4743.711891627008</v>
      </c>
      <c r="K148">
        <v>3</v>
      </c>
      <c r="L148" t="s">
        <v>670</v>
      </c>
    </row>
    <row r="149" spans="2:12" ht="22.5">
      <c r="B149" s="812"/>
      <c r="C149" s="836" t="s">
        <v>676</v>
      </c>
      <c r="D149" s="812" t="s">
        <v>669</v>
      </c>
      <c r="E149" s="812"/>
      <c r="F149" s="812">
        <v>11307.05</v>
      </c>
      <c r="G149" s="812"/>
      <c r="H149" s="812">
        <v>4</v>
      </c>
      <c r="I149" s="812"/>
      <c r="J149" s="813">
        <f>9082.5*1.06*1.202/165.5*4*11307.05/1000*2</f>
        <v>6324.949188836012</v>
      </c>
      <c r="K149">
        <v>4</v>
      </c>
      <c r="L149" s="818" t="s">
        <v>675</v>
      </c>
    </row>
    <row r="150" spans="2:12" ht="22.5">
      <c r="B150" s="812"/>
      <c r="C150" s="836" t="s">
        <v>677</v>
      </c>
      <c r="D150" s="812" t="s">
        <v>669</v>
      </c>
      <c r="E150" s="812"/>
      <c r="F150" s="812">
        <v>11307.05</v>
      </c>
      <c r="G150" s="812"/>
      <c r="H150" s="812">
        <v>3</v>
      </c>
      <c r="I150" s="812"/>
      <c r="J150" s="813">
        <f>9082.5*1.06*1.202/165.5*3*11307.05/1000*2</f>
        <v>4743.711891627008</v>
      </c>
      <c r="K150">
        <v>3</v>
      </c>
      <c r="L150" s="818" t="s">
        <v>675</v>
      </c>
    </row>
    <row r="151" spans="2:12" ht="22.5">
      <c r="B151" s="812"/>
      <c r="C151" s="836" t="s">
        <v>674</v>
      </c>
      <c r="D151" s="812" t="s">
        <v>669</v>
      </c>
      <c r="E151" s="812"/>
      <c r="F151" s="812">
        <v>11307.05</v>
      </c>
      <c r="G151" s="812"/>
      <c r="H151" s="812">
        <v>3.5</v>
      </c>
      <c r="I151" s="812"/>
      <c r="J151" s="813">
        <f>8347.5*1.06*1.202/165.5*3.5*11307.05/1000*2</f>
        <v>5086.465641022025</v>
      </c>
      <c r="K151">
        <v>3.5</v>
      </c>
      <c r="L151" t="s">
        <v>678</v>
      </c>
    </row>
    <row r="152" spans="2:10" ht="22.5">
      <c r="B152" s="812"/>
      <c r="C152" s="836" t="s">
        <v>679</v>
      </c>
      <c r="D152" s="812"/>
      <c r="E152" s="812"/>
      <c r="F152" s="812"/>
      <c r="G152" s="812"/>
      <c r="H152" s="812"/>
      <c r="I152" s="812"/>
      <c r="J152" s="846">
        <f>SUM(J146:J151)</f>
        <v>37074.71135805489</v>
      </c>
    </row>
    <row r="153" spans="3:10" ht="12.75">
      <c r="C153" s="807"/>
      <c r="D153" s="807"/>
      <c r="E153" s="807"/>
      <c r="F153" s="807"/>
      <c r="G153" s="807"/>
      <c r="H153" s="807"/>
      <c r="I153" s="807"/>
      <c r="J153" s="807"/>
    </row>
    <row r="154" spans="3:10" ht="12.75">
      <c r="C154" s="807"/>
      <c r="D154" s="807"/>
      <c r="E154" s="807"/>
      <c r="F154" s="807"/>
      <c r="G154" s="807"/>
      <c r="H154" s="807"/>
      <c r="I154" s="807"/>
      <c r="J154" s="807"/>
    </row>
    <row r="155" spans="3:10" ht="12.75">
      <c r="C155" s="812" t="s">
        <v>701</v>
      </c>
      <c r="D155" s="807"/>
      <c r="E155" s="807"/>
      <c r="F155" s="807"/>
      <c r="G155" s="807"/>
      <c r="H155" s="807"/>
      <c r="I155" s="807"/>
      <c r="J155" s="807"/>
    </row>
    <row r="156" spans="3:10" ht="12.75">
      <c r="C156" s="807" t="s">
        <v>702</v>
      </c>
      <c r="D156" s="807"/>
      <c r="E156" s="807"/>
      <c r="F156" s="807"/>
      <c r="G156" s="807"/>
      <c r="H156" s="807"/>
      <c r="I156" s="807">
        <v>37074.71</v>
      </c>
      <c r="J156" s="807"/>
    </row>
    <row r="157" spans="3:10" ht="12.75">
      <c r="C157" s="807" t="s">
        <v>703</v>
      </c>
      <c r="D157" s="807"/>
      <c r="E157" s="807"/>
      <c r="F157" s="807"/>
      <c r="G157" s="807"/>
      <c r="H157" s="807"/>
      <c r="I157" s="814">
        <f>I117+I118+I131+I133+I135+I136+I138</f>
        <v>1446.5762213576756</v>
      </c>
      <c r="J157" s="807"/>
    </row>
    <row r="158" spans="3:10" ht="12.75">
      <c r="C158" s="807" t="s">
        <v>704</v>
      </c>
      <c r="D158" s="807"/>
      <c r="E158" s="807"/>
      <c r="F158" s="807"/>
      <c r="G158" s="807"/>
      <c r="H158" s="807"/>
      <c r="I158" s="807">
        <v>2229.85</v>
      </c>
      <c r="J158" s="807"/>
    </row>
    <row r="159" spans="3:10" ht="12.75">
      <c r="C159" s="807" t="s">
        <v>705</v>
      </c>
      <c r="D159" s="807"/>
      <c r="E159" s="807"/>
      <c r="F159" s="807"/>
      <c r="G159" s="807"/>
      <c r="H159" s="807"/>
      <c r="I159" s="807">
        <v>1494.32</v>
      </c>
      <c r="J159" s="807"/>
    </row>
    <row r="160" spans="3:10" ht="12.75">
      <c r="C160" s="807" t="s">
        <v>706</v>
      </c>
      <c r="D160" s="807"/>
      <c r="E160" s="807"/>
      <c r="F160" s="807"/>
      <c r="G160" s="807"/>
      <c r="H160" s="807"/>
      <c r="I160" s="807">
        <v>4822.63</v>
      </c>
      <c r="J160" s="807"/>
    </row>
    <row r="161" spans="3:10" ht="12.75">
      <c r="C161" s="874" t="s">
        <v>707</v>
      </c>
      <c r="D161" s="874"/>
      <c r="E161" s="874"/>
      <c r="F161" s="874"/>
      <c r="G161" s="874"/>
      <c r="H161" s="874"/>
      <c r="I161" s="874">
        <f>I156+I157+I158+I159+I160</f>
        <v>47068.08622135767</v>
      </c>
      <c r="J161" s="874"/>
    </row>
    <row r="162" spans="3:10" ht="12.75">
      <c r="C162" s="807" t="s">
        <v>708</v>
      </c>
      <c r="D162" s="807"/>
      <c r="E162" s="807"/>
      <c r="F162" s="807"/>
      <c r="G162" s="807"/>
      <c r="H162" s="807"/>
      <c r="I162" s="814">
        <f>I119+I120+I134+I137</f>
        <v>931.5</v>
      </c>
      <c r="J162" s="807"/>
    </row>
    <row r="163" spans="3:10" ht="12.75">
      <c r="C163" s="807" t="s">
        <v>709</v>
      </c>
      <c r="D163" s="807"/>
      <c r="E163" s="807"/>
      <c r="F163" s="807"/>
      <c r="G163" s="807"/>
      <c r="H163" s="807"/>
      <c r="I163" s="807">
        <v>187.74</v>
      </c>
      <c r="J163" s="807"/>
    </row>
    <row r="164" spans="3:10" ht="12.75">
      <c r="C164" s="874" t="s">
        <v>707</v>
      </c>
      <c r="D164" s="874"/>
      <c r="E164" s="874"/>
      <c r="F164" s="874"/>
      <c r="G164" s="874"/>
      <c r="H164" s="874"/>
      <c r="I164" s="875">
        <f>I162+I163</f>
        <v>1119.24</v>
      </c>
      <c r="J164" s="874"/>
    </row>
    <row r="165" spans="3:10" ht="12.75">
      <c r="C165" s="807" t="s">
        <v>710</v>
      </c>
      <c r="D165" s="807"/>
      <c r="E165" s="807"/>
      <c r="F165" s="807"/>
      <c r="G165" s="807"/>
      <c r="H165" s="807"/>
      <c r="I165" s="874">
        <f>I161+I164</f>
        <v>48187.32622135767</v>
      </c>
      <c r="J165" s="807"/>
    </row>
    <row r="166" spans="3:10" ht="12.75">
      <c r="C166" s="807" t="s">
        <v>715</v>
      </c>
      <c r="D166" s="807"/>
      <c r="E166" s="807"/>
      <c r="F166" s="807"/>
      <c r="G166" s="807"/>
      <c r="H166" s="807"/>
      <c r="I166" s="807">
        <f>I165-I158</f>
        <v>45957.47622135767</v>
      </c>
      <c r="J166" s="807"/>
    </row>
    <row r="167" spans="3:10" ht="12.75">
      <c r="C167" s="807" t="s">
        <v>717</v>
      </c>
      <c r="D167" s="807"/>
      <c r="E167" s="807"/>
      <c r="F167" s="807"/>
      <c r="G167" s="807"/>
      <c r="H167" s="807"/>
      <c r="I167" s="807" t="s">
        <v>718</v>
      </c>
      <c r="J167" s="807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102:L102"/>
    <mergeCell ref="K53:O53"/>
    <mergeCell ref="K100:N100"/>
    <mergeCell ref="K101:N101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3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58" t="s">
        <v>743</v>
      </c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8"/>
    </row>
    <row r="2" spans="1:15" ht="16.5" thickBot="1">
      <c r="A2" s="113"/>
      <c r="B2" s="131" t="s">
        <v>465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85</v>
      </c>
      <c r="D3" s="15" t="s">
        <v>150</v>
      </c>
      <c r="E3" s="15" t="s">
        <v>301</v>
      </c>
      <c r="F3" s="15" t="s">
        <v>149</v>
      </c>
      <c r="G3" s="220" t="s">
        <v>482</v>
      </c>
      <c r="H3" s="306" t="s">
        <v>278</v>
      </c>
      <c r="I3" s="956" t="s">
        <v>153</v>
      </c>
      <c r="J3" s="957"/>
      <c r="K3" s="957"/>
      <c r="L3" s="957"/>
      <c r="M3" s="220"/>
      <c r="N3" s="426" t="s">
        <v>189</v>
      </c>
      <c r="O3" s="954" t="s">
        <v>177</v>
      </c>
    </row>
    <row r="4" spans="1:15" s="2" customFormat="1" ht="28.5" customHeight="1" thickBot="1">
      <c r="A4" s="249"/>
      <c r="B4" s="300"/>
      <c r="C4" s="12"/>
      <c r="D4" s="12"/>
      <c r="E4" s="305" t="s">
        <v>270</v>
      </c>
      <c r="F4" s="305" t="s">
        <v>275</v>
      </c>
      <c r="G4" s="432" t="s">
        <v>270</v>
      </c>
      <c r="H4" s="433" t="s">
        <v>277</v>
      </c>
      <c r="I4" s="301"/>
      <c r="J4" s="302"/>
      <c r="K4" s="302"/>
      <c r="L4" s="302"/>
      <c r="M4" s="218"/>
      <c r="N4" s="310" t="s">
        <v>299</v>
      </c>
      <c r="O4" s="955"/>
    </row>
    <row r="5" spans="1:15" s="243" customFormat="1" ht="14.25" customHeight="1" thickBot="1">
      <c r="A5" s="299" t="s">
        <v>86</v>
      </c>
      <c r="B5" s="304" t="s">
        <v>190</v>
      </c>
      <c r="C5" s="304" t="s">
        <v>87</v>
      </c>
      <c r="D5" s="299" t="s">
        <v>71</v>
      </c>
      <c r="E5" s="304" t="s">
        <v>72</v>
      </c>
      <c r="F5" s="304" t="s">
        <v>73</v>
      </c>
      <c r="G5" s="434" t="s">
        <v>74</v>
      </c>
      <c r="H5" s="436" t="s">
        <v>75</v>
      </c>
      <c r="I5" s="435" t="s">
        <v>76</v>
      </c>
      <c r="J5" s="299" t="s">
        <v>77</v>
      </c>
      <c r="K5" s="304" t="s">
        <v>78</v>
      </c>
      <c r="L5" s="304" t="s">
        <v>79</v>
      </c>
      <c r="M5" s="299" t="s">
        <v>80</v>
      </c>
      <c r="N5" s="437" t="s">
        <v>76</v>
      </c>
      <c r="O5" s="436" t="s">
        <v>77</v>
      </c>
    </row>
    <row r="6" spans="1:15" s="21" customFormat="1" ht="18.75" customHeight="1">
      <c r="A6" s="124" t="s">
        <v>190</v>
      </c>
      <c r="B6" s="564" t="s">
        <v>84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87</v>
      </c>
      <c r="B7" s="369" t="s">
        <v>178</v>
      </c>
      <c r="C7" s="576"/>
      <c r="D7" s="576"/>
      <c r="E7" s="752" t="s">
        <v>288</v>
      </c>
      <c r="F7" s="752" t="s">
        <v>288</v>
      </c>
      <c r="G7" s="752" t="s">
        <v>288</v>
      </c>
      <c r="H7" s="773">
        <f>'сан содерж'!G19</f>
        <v>97983.94877996725</v>
      </c>
      <c r="I7" s="576" t="s">
        <v>288</v>
      </c>
      <c r="J7" s="576" t="s">
        <v>288</v>
      </c>
      <c r="K7" s="576" t="s">
        <v>288</v>
      </c>
      <c r="L7" s="576" t="s">
        <v>288</v>
      </c>
      <c r="M7" s="576" t="s">
        <v>288</v>
      </c>
      <c r="N7" s="576">
        <f>'Исход дан'!D$11</f>
        <v>11325.5</v>
      </c>
      <c r="O7" s="773">
        <f>ROUND(H7/N7/12,2)</f>
        <v>0.72</v>
      </c>
    </row>
    <row r="8" spans="1:15" s="117" customFormat="1" ht="33" customHeight="1">
      <c r="A8" s="121" t="s">
        <v>71</v>
      </c>
      <c r="B8" s="369" t="s">
        <v>180</v>
      </c>
      <c r="C8" s="576"/>
      <c r="D8" s="576"/>
      <c r="E8" s="752" t="s">
        <v>288</v>
      </c>
      <c r="F8" s="752" t="s">
        <v>288</v>
      </c>
      <c r="G8" s="752" t="s">
        <v>288</v>
      </c>
      <c r="H8" s="614">
        <f>'сан содерж'!G42</f>
        <v>134695.2051287168</v>
      </c>
      <c r="I8" s="576" t="s">
        <v>288</v>
      </c>
      <c r="J8" s="576" t="s">
        <v>288</v>
      </c>
      <c r="K8" s="576" t="s">
        <v>288</v>
      </c>
      <c r="L8" s="576" t="s">
        <v>288</v>
      </c>
      <c r="M8" s="576" t="s">
        <v>288</v>
      </c>
      <c r="N8" s="576">
        <f>'Исход дан'!D$11</f>
        <v>11325.5</v>
      </c>
      <c r="O8" s="695">
        <f>ROUND(H8/N8/12,2)</f>
        <v>0.99</v>
      </c>
    </row>
    <row r="9" spans="1:15" s="117" customFormat="1" ht="21.75" customHeight="1">
      <c r="A9" s="121" t="s">
        <v>72</v>
      </c>
      <c r="B9" s="369" t="s">
        <v>179</v>
      </c>
      <c r="C9" s="576"/>
      <c r="D9" s="576"/>
      <c r="E9" s="752" t="s">
        <v>288</v>
      </c>
      <c r="F9" s="752" t="s">
        <v>288</v>
      </c>
      <c r="G9" s="752" t="s">
        <v>288</v>
      </c>
      <c r="H9" s="614">
        <v>0</v>
      </c>
      <c r="I9" s="576" t="s">
        <v>288</v>
      </c>
      <c r="J9" s="576" t="s">
        <v>288</v>
      </c>
      <c r="K9" s="576" t="s">
        <v>288</v>
      </c>
      <c r="L9" s="576" t="s">
        <v>288</v>
      </c>
      <c r="M9" s="576" t="s">
        <v>288</v>
      </c>
      <c r="N9" s="576">
        <f>'Исход дан'!D$11</f>
        <v>11325.5</v>
      </c>
      <c r="O9" s="695">
        <v>0</v>
      </c>
    </row>
    <row r="10" spans="1:15" s="117" customFormat="1" ht="40.5" customHeight="1" thickBot="1">
      <c r="A10" s="249" t="s">
        <v>73</v>
      </c>
      <c r="B10" s="423" t="s">
        <v>371</v>
      </c>
      <c r="C10" s="577"/>
      <c r="D10" s="576"/>
      <c r="E10" s="752" t="s">
        <v>288</v>
      </c>
      <c r="F10" s="752" t="s">
        <v>288</v>
      </c>
      <c r="G10" s="752" t="s">
        <v>288</v>
      </c>
      <c r="H10" s="614">
        <f>'сан содерж'!G59</f>
        <v>38054.368</v>
      </c>
      <c r="I10" s="576" t="s">
        <v>288</v>
      </c>
      <c r="J10" s="576" t="s">
        <v>288</v>
      </c>
      <c r="K10" s="576" t="s">
        <v>288</v>
      </c>
      <c r="L10" s="576" t="s">
        <v>288</v>
      </c>
      <c r="M10" s="576" t="s">
        <v>288</v>
      </c>
      <c r="N10" s="577">
        <f>'Исход дан'!D$11</f>
        <v>11325.5</v>
      </c>
      <c r="O10" s="699">
        <f>ROUND(H10/N10/12,2)</f>
        <v>0.28</v>
      </c>
    </row>
    <row r="11" spans="1:15" s="1" customFormat="1" ht="30" customHeight="1" thickBot="1">
      <c r="A11" s="365" t="s">
        <v>74</v>
      </c>
      <c r="B11" s="578" t="s">
        <v>148</v>
      </c>
      <c r="C11" s="579"/>
      <c r="D11" s="579"/>
      <c r="E11" s="579"/>
      <c r="F11" s="579"/>
      <c r="G11" s="580"/>
      <c r="H11" s="585">
        <f>H7+H8+H10</f>
        <v>270733.52190868405</v>
      </c>
      <c r="I11" s="581"/>
      <c r="J11" s="582"/>
      <c r="K11" s="582"/>
      <c r="L11" s="582"/>
      <c r="M11" s="583"/>
      <c r="N11" s="584">
        <f>'Исход дан'!D$11</f>
        <v>11325.5</v>
      </c>
      <c r="O11" s="775">
        <f>O7+O8+O10</f>
        <v>1.99</v>
      </c>
    </row>
    <row r="12" spans="1:15" s="4" customFormat="1" ht="15" customHeight="1">
      <c r="A12" s="124" t="s">
        <v>75</v>
      </c>
      <c r="B12" s="586" t="s">
        <v>174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76</v>
      </c>
      <c r="B13" s="594" t="s">
        <v>170</v>
      </c>
      <c r="C13" s="595" t="s">
        <v>235</v>
      </c>
      <c r="D13" s="595"/>
      <c r="E13" s="756"/>
      <c r="F13" s="757"/>
      <c r="G13" s="758"/>
      <c r="H13" s="596">
        <v>14950</v>
      </c>
      <c r="I13" s="597"/>
      <c r="J13" s="598"/>
      <c r="K13" s="598"/>
      <c r="L13" s="598"/>
      <c r="M13" s="599"/>
      <c r="N13" s="576">
        <f>'Исход дан'!D$11</f>
        <v>11325.5</v>
      </c>
      <c r="O13" s="773">
        <f>ROUND(H13/N13/12,3)</f>
        <v>0.11</v>
      </c>
    </row>
    <row r="14" spans="1:15" s="62" customFormat="1" ht="15" customHeight="1">
      <c r="A14" s="121" t="s">
        <v>77</v>
      </c>
      <c r="B14" s="594" t="s">
        <v>171</v>
      </c>
      <c r="C14" s="595" t="s">
        <v>235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11325.5</v>
      </c>
      <c r="O14" s="695">
        <f>ROUND(H14/N14/12,3)</f>
        <v>0</v>
      </c>
    </row>
    <row r="15" spans="1:15" s="62" customFormat="1" ht="15" customHeight="1">
      <c r="A15" s="121" t="s">
        <v>78</v>
      </c>
      <c r="B15" s="594" t="s">
        <v>172</v>
      </c>
      <c r="C15" s="595" t="s">
        <v>235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11325.5</v>
      </c>
      <c r="O15" s="695">
        <f>ROUND(H15/N15/12,2)</f>
        <v>0</v>
      </c>
    </row>
    <row r="16" spans="1:15" s="62" customFormat="1" ht="15" customHeight="1" thickBot="1">
      <c r="A16" s="121" t="s">
        <v>79</v>
      </c>
      <c r="B16" s="594" t="s">
        <v>173</v>
      </c>
      <c r="C16" s="595" t="s">
        <v>235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11325.5</v>
      </c>
      <c r="O16" s="699">
        <f>ROUND(H16/N16/12,2)</f>
        <v>0</v>
      </c>
    </row>
    <row r="17" spans="1:15" s="21" customFormat="1" ht="30" customHeight="1" thickBot="1">
      <c r="A17" s="346" t="s">
        <v>80</v>
      </c>
      <c r="B17" s="578" t="s">
        <v>276</v>
      </c>
      <c r="C17" s="579"/>
      <c r="D17" s="579"/>
      <c r="E17" s="600"/>
      <c r="F17" s="579"/>
      <c r="G17" s="580"/>
      <c r="H17" s="585">
        <f>SUM(H13:H16)</f>
        <v>14950</v>
      </c>
      <c r="I17" s="601"/>
      <c r="J17" s="602"/>
      <c r="K17" s="602"/>
      <c r="L17" s="602"/>
      <c r="M17" s="603"/>
      <c r="N17" s="584">
        <f>'Исход дан'!D$11</f>
        <v>11325.5</v>
      </c>
      <c r="O17" s="790">
        <f>ROUND(H17/N17/12,2)</f>
        <v>0.11</v>
      </c>
    </row>
    <row r="18" spans="1:15" s="115" customFormat="1" ht="15" customHeight="1">
      <c r="A18" s="124" t="s">
        <v>154</v>
      </c>
      <c r="B18" s="604" t="s">
        <v>82</v>
      </c>
      <c r="C18" s="605" t="s">
        <v>83</v>
      </c>
      <c r="D18" s="605" t="s">
        <v>268</v>
      </c>
      <c r="E18" s="606"/>
      <c r="F18" s="605"/>
      <c r="G18" s="607"/>
      <c r="H18" s="806">
        <v>9514</v>
      </c>
      <c r="I18" s="608"/>
      <c r="J18" s="609"/>
      <c r="K18" s="610"/>
      <c r="L18" s="609"/>
      <c r="M18" s="611"/>
      <c r="N18" s="592">
        <f>'Исход дан'!D$11</f>
        <v>11325.5</v>
      </c>
      <c r="O18" s="789">
        <f>H18/N18/12</f>
        <v>0.07000426765558547</v>
      </c>
    </row>
    <row r="19" spans="1:15" s="95" customFormat="1" ht="33.75" customHeight="1">
      <c r="A19" s="121" t="s">
        <v>81</v>
      </c>
      <c r="B19" s="369" t="s">
        <v>65</v>
      </c>
      <c r="C19" s="613" t="s">
        <v>386</v>
      </c>
      <c r="D19" s="576" t="s">
        <v>267</v>
      </c>
      <c r="E19" s="759">
        <v>2.596</v>
      </c>
      <c r="F19" s="628">
        <v>33834</v>
      </c>
      <c r="G19" s="760">
        <v>1</v>
      </c>
      <c r="H19" s="819">
        <v>144060.36</v>
      </c>
      <c r="I19" s="615"/>
      <c r="J19" s="616"/>
      <c r="K19" s="616"/>
      <c r="L19" s="616"/>
      <c r="M19" s="617"/>
      <c r="N19" s="576">
        <f>'Исход дан'!D$11</f>
        <v>11325.5</v>
      </c>
      <c r="O19" s="788">
        <f>ROUND(H19/N19/12,2)</f>
        <v>1.06</v>
      </c>
    </row>
    <row r="20" spans="1:15" s="22" customFormat="1" ht="26.25" customHeight="1">
      <c r="A20" s="121" t="s">
        <v>155</v>
      </c>
      <c r="B20" s="369" t="s">
        <v>462</v>
      </c>
      <c r="C20" s="576" t="s">
        <v>478</v>
      </c>
      <c r="D20" s="576" t="s">
        <v>387</v>
      </c>
      <c r="E20" s="760">
        <v>0.26</v>
      </c>
      <c r="F20" s="752">
        <f>'Исход дан'!D11</f>
        <v>11325.5</v>
      </c>
      <c r="G20" s="761">
        <v>1</v>
      </c>
      <c r="H20" s="819">
        <f>E20*F20*G20*12</f>
        <v>35335.56</v>
      </c>
      <c r="I20" s="615"/>
      <c r="J20" s="618"/>
      <c r="K20" s="616"/>
      <c r="L20" s="618"/>
      <c r="M20" s="617"/>
      <c r="N20" s="576">
        <f>'Исход дан'!D$11</f>
        <v>11325.5</v>
      </c>
      <c r="O20" s="695">
        <f>ROUND(H20/N20/12,3)</f>
        <v>0.26</v>
      </c>
    </row>
    <row r="21" spans="1:15" s="22" customFormat="1" ht="24.75" customHeight="1">
      <c r="A21" s="121" t="s">
        <v>156</v>
      </c>
      <c r="B21" s="369" t="s">
        <v>463</v>
      </c>
      <c r="C21" s="576" t="s">
        <v>478</v>
      </c>
      <c r="D21" s="576" t="s">
        <v>387</v>
      </c>
      <c r="E21" s="762">
        <v>0.12</v>
      </c>
      <c r="F21" s="752">
        <f>'Исход дан'!D11</f>
        <v>11325.5</v>
      </c>
      <c r="G21" s="760">
        <v>1</v>
      </c>
      <c r="H21" s="819">
        <f>E21*F21*G21*12</f>
        <v>16308.72</v>
      </c>
      <c r="I21" s="615"/>
      <c r="J21" s="618"/>
      <c r="K21" s="616"/>
      <c r="L21" s="618"/>
      <c r="M21" s="617"/>
      <c r="N21" s="576">
        <f>'Исход дан'!D$11</f>
        <v>11325.5</v>
      </c>
      <c r="O21" s="695">
        <f>ROUND(H21/N21/12,3)</f>
        <v>0.12</v>
      </c>
    </row>
    <row r="22" spans="1:15" s="22" customFormat="1" ht="15.75" customHeight="1" thickBot="1">
      <c r="A22" s="428" t="s">
        <v>157</v>
      </c>
      <c r="B22" s="619" t="s">
        <v>390</v>
      </c>
      <c r="C22" s="576" t="s">
        <v>478</v>
      </c>
      <c r="D22" s="576" t="s">
        <v>387</v>
      </c>
      <c r="E22" s="763">
        <v>0.16</v>
      </c>
      <c r="F22" s="764">
        <f>'Исход дан'!D11</f>
        <v>11325.5</v>
      </c>
      <c r="G22" s="765">
        <v>1</v>
      </c>
      <c r="H22" s="819">
        <f>E22*F22*G22*12</f>
        <v>21744.96</v>
      </c>
      <c r="I22" s="620"/>
      <c r="J22" s="621"/>
      <c r="K22" s="622"/>
      <c r="L22" s="621"/>
      <c r="M22" s="623"/>
      <c r="N22" s="577">
        <f>'Исход дан'!D$11</f>
        <v>11325.5</v>
      </c>
      <c r="O22" s="699">
        <f>ROUND(H22/N22/12,3)</f>
        <v>0.16</v>
      </c>
    </row>
    <row r="23" spans="1:15" s="21" customFormat="1" ht="28.5" customHeight="1" thickBot="1">
      <c r="A23" s="346" t="s">
        <v>88</v>
      </c>
      <c r="B23" s="578" t="s">
        <v>303</v>
      </c>
      <c r="C23" s="579"/>
      <c r="D23" s="579"/>
      <c r="E23" s="579"/>
      <c r="F23" s="579"/>
      <c r="G23" s="580"/>
      <c r="H23" s="585">
        <f>SUM(H18:H22)</f>
        <v>226963.59999999998</v>
      </c>
      <c r="I23" s="581"/>
      <c r="J23" s="582"/>
      <c r="K23" s="582"/>
      <c r="L23" s="582"/>
      <c r="M23" s="583"/>
      <c r="N23" s="584">
        <f>'Исход дан'!D$11</f>
        <v>11325.5</v>
      </c>
      <c r="O23" s="775">
        <f>ROUND(H23/N23/12,2)</f>
        <v>1.67</v>
      </c>
    </row>
    <row r="24" spans="1:17" s="1" customFormat="1" ht="25.5" customHeight="1">
      <c r="A24" s="124" t="s">
        <v>89</v>
      </c>
      <c r="B24" s="624" t="s">
        <v>182</v>
      </c>
      <c r="C24" s="625"/>
      <c r="D24" s="592"/>
      <c r="E24" s="752" t="s">
        <v>288</v>
      </c>
      <c r="F24" s="752" t="s">
        <v>288</v>
      </c>
      <c r="G24" s="760" t="s">
        <v>288</v>
      </c>
      <c r="H24" s="688">
        <f>профраб!I24</f>
        <v>169933.46544091243</v>
      </c>
      <c r="I24" s="689"/>
      <c r="J24" s="690"/>
      <c r="K24" s="592"/>
      <c r="L24" s="690"/>
      <c r="M24" s="626"/>
      <c r="N24" s="592">
        <f>'Исход дан'!D$11</f>
        <v>11325.5</v>
      </c>
      <c r="O24" s="700">
        <f>ROUND(H24/N24/12,2)</f>
        <v>1.25</v>
      </c>
      <c r="P24" s="823"/>
      <c r="Q24" s="824"/>
    </row>
    <row r="25" spans="1:16" s="1" customFormat="1" ht="25.5" customHeight="1">
      <c r="A25" s="121" t="s">
        <v>90</v>
      </c>
      <c r="B25" s="369" t="s">
        <v>183</v>
      </c>
      <c r="C25" s="613"/>
      <c r="D25" s="576"/>
      <c r="E25" s="752" t="s">
        <v>288</v>
      </c>
      <c r="F25" s="752" t="s">
        <v>288</v>
      </c>
      <c r="G25" s="760" t="s">
        <v>288</v>
      </c>
      <c r="H25" s="614">
        <f>профраб!I38</f>
        <v>16030.271186053935</v>
      </c>
      <c r="I25" s="691"/>
      <c r="J25" s="692"/>
      <c r="K25" s="576"/>
      <c r="L25" s="692"/>
      <c r="M25" s="627"/>
      <c r="N25" s="576">
        <f>'Исход дан'!D$11</f>
        <v>11325.5</v>
      </c>
      <c r="O25" s="695">
        <f>ROUND(H25/N25/12,2)</f>
        <v>0.12</v>
      </c>
      <c r="P25" s="424"/>
    </row>
    <row r="26" spans="1:16" s="1" customFormat="1" ht="30" customHeight="1" thickBot="1">
      <c r="A26" s="249" t="s">
        <v>91</v>
      </c>
      <c r="B26" s="841" t="s">
        <v>698</v>
      </c>
      <c r="C26" s="628"/>
      <c r="D26" s="577"/>
      <c r="E26" s="628"/>
      <c r="F26" s="766"/>
      <c r="G26" s="767"/>
      <c r="H26" s="629">
        <v>281267.4</v>
      </c>
      <c r="I26" s="693"/>
      <c r="J26" s="694"/>
      <c r="K26" s="577"/>
      <c r="L26" s="694"/>
      <c r="M26" s="630"/>
      <c r="N26" s="577">
        <f>'Исход дан'!D$11</f>
        <v>11325.5</v>
      </c>
      <c r="O26" s="786">
        <f>ROUND(H26/N26/12,2)</f>
        <v>2.07</v>
      </c>
      <c r="P26" s="424"/>
    </row>
    <row r="27" spans="1:15" s="4" customFormat="1" ht="30" customHeight="1" thickBot="1">
      <c r="A27" s="346" t="s">
        <v>92</v>
      </c>
      <c r="B27" s="680" t="s">
        <v>399</v>
      </c>
      <c r="C27" s="579"/>
      <c r="D27" s="579"/>
      <c r="E27" s="579"/>
      <c r="F27" s="579"/>
      <c r="G27" s="580"/>
      <c r="H27" s="774">
        <f>SUM(H24:H26)</f>
        <v>467231.1366269664</v>
      </c>
      <c r="I27" s="581"/>
      <c r="J27" s="696"/>
      <c r="K27" s="582"/>
      <c r="L27" s="696"/>
      <c r="M27" s="681"/>
      <c r="N27" s="584">
        <f>'Исход дан'!D$11</f>
        <v>11325.5</v>
      </c>
      <c r="O27" s="775">
        <f>ROUND(H27/N27/12,2)</f>
        <v>3.44</v>
      </c>
    </row>
    <row r="28" spans="1:15" s="4" customFormat="1" ht="39" customHeight="1">
      <c r="A28" s="551" t="s">
        <v>93</v>
      </c>
      <c r="B28" s="552" t="s">
        <v>476</v>
      </c>
      <c r="C28" s="632" t="s">
        <v>477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11325.5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94</v>
      </c>
      <c r="B29" s="840" t="s">
        <v>697</v>
      </c>
      <c r="C29" s="429" t="s">
        <v>250</v>
      </c>
      <c r="D29" s="565"/>
      <c r="E29" s="754"/>
      <c r="F29" s="754"/>
      <c r="G29" s="770"/>
      <c r="H29" s="698">
        <v>15000</v>
      </c>
      <c r="I29" s="638"/>
      <c r="J29" s="639"/>
      <c r="K29" s="640"/>
      <c r="L29" s="639"/>
      <c r="M29" s="564"/>
      <c r="N29" s="576">
        <f>'Исход дан'!D$11</f>
        <v>11325.5</v>
      </c>
      <c r="O29" s="695">
        <f t="shared" si="0"/>
        <v>0.11</v>
      </c>
    </row>
    <row r="30" spans="1:15" s="21" customFormat="1" ht="15.75" customHeight="1">
      <c r="A30" s="121" t="s">
        <v>95</v>
      </c>
      <c r="B30" s="624" t="s">
        <v>388</v>
      </c>
      <c r="C30" s="592" t="s">
        <v>459</v>
      </c>
      <c r="D30" s="576" t="s">
        <v>387</v>
      </c>
      <c r="E30" s="752">
        <v>0.31</v>
      </c>
      <c r="F30" s="752">
        <f>'Исход дан'!D11</f>
        <v>11325.5</v>
      </c>
      <c r="G30" s="760">
        <v>12</v>
      </c>
      <c r="H30" s="698">
        <f>E30*F30*G30</f>
        <v>42130.86</v>
      </c>
      <c r="I30" s="641"/>
      <c r="J30" s="642"/>
      <c r="K30" s="643"/>
      <c r="L30" s="642"/>
      <c r="M30" s="644"/>
      <c r="N30" s="576">
        <f>'Исход дан'!D$11</f>
        <v>11325.5</v>
      </c>
      <c r="O30" s="773">
        <f t="shared" si="0"/>
        <v>0.31</v>
      </c>
    </row>
    <row r="31" spans="1:15" s="21" customFormat="1" ht="35.25" customHeight="1">
      <c r="A31" s="124" t="s">
        <v>158</v>
      </c>
      <c r="B31" s="624" t="s">
        <v>397</v>
      </c>
      <c r="C31" s="625" t="s">
        <v>460</v>
      </c>
      <c r="D31" s="576" t="s">
        <v>387</v>
      </c>
      <c r="E31" s="771">
        <v>1.96</v>
      </c>
      <c r="F31" s="771">
        <f>'Исход дан'!D11</f>
        <v>11325.5</v>
      </c>
      <c r="G31" s="772">
        <v>12</v>
      </c>
      <c r="H31" s="698">
        <f>E31*F31*G31</f>
        <v>266375.76</v>
      </c>
      <c r="I31" s="641"/>
      <c r="J31" s="642"/>
      <c r="K31" s="643"/>
      <c r="L31" s="642"/>
      <c r="M31" s="644"/>
      <c r="N31" s="576">
        <f>'Исход дан'!D$11</f>
        <v>11325.5</v>
      </c>
      <c r="O31" s="695">
        <f>ROUND(H31/N31/12,2)</f>
        <v>1.96</v>
      </c>
    </row>
    <row r="32" spans="1:15" s="21" customFormat="1" ht="27" customHeight="1">
      <c r="A32" s="428" t="s">
        <v>159</v>
      </c>
      <c r="B32" s="619" t="s">
        <v>398</v>
      </c>
      <c r="C32" s="645" t="s">
        <v>461</v>
      </c>
      <c r="D32" s="577" t="s">
        <v>387</v>
      </c>
      <c r="E32" s="764"/>
      <c r="F32" s="764">
        <f>'Исход дан'!D11</f>
        <v>11325.5</v>
      </c>
      <c r="G32" s="765"/>
      <c r="H32" s="698">
        <v>28494</v>
      </c>
      <c r="I32" s="646"/>
      <c r="J32" s="647"/>
      <c r="K32" s="648"/>
      <c r="L32" s="647"/>
      <c r="M32" s="649"/>
      <c r="N32" s="576">
        <f>'Исход дан'!D$11</f>
        <v>11325.5</v>
      </c>
      <c r="O32" s="773">
        <f t="shared" si="0"/>
        <v>0.21</v>
      </c>
    </row>
    <row r="33" spans="1:15" s="21" customFormat="1" ht="15.75" customHeight="1" thickBot="1">
      <c r="A33" s="249" t="s">
        <v>304</v>
      </c>
      <c r="B33" s="423" t="s">
        <v>464</v>
      </c>
      <c r="C33" s="849" t="s">
        <v>195</v>
      </c>
      <c r="D33" s="577" t="s">
        <v>387</v>
      </c>
      <c r="E33" s="628"/>
      <c r="F33" s="628"/>
      <c r="G33" s="767"/>
      <c r="H33" s="871">
        <v>0</v>
      </c>
      <c r="I33" s="646"/>
      <c r="J33" s="647"/>
      <c r="K33" s="648"/>
      <c r="L33" s="647"/>
      <c r="M33" s="649"/>
      <c r="N33" s="577">
        <f>'Исход дан'!D$11</f>
        <v>11325.5</v>
      </c>
      <c r="O33" s="699">
        <f t="shared" si="0"/>
        <v>0</v>
      </c>
    </row>
    <row r="34" spans="1:16" s="5" customFormat="1" ht="30" customHeight="1" thickBot="1">
      <c r="A34" s="365" t="s">
        <v>305</v>
      </c>
      <c r="B34" s="650" t="s">
        <v>188</v>
      </c>
      <c r="C34" s="651"/>
      <c r="D34" s="651" t="s">
        <v>56</v>
      </c>
      <c r="E34" s="651"/>
      <c r="F34" s="651"/>
      <c r="G34" s="652"/>
      <c r="H34" s="656">
        <f>H11+H17+H23+H27+H28+H29+H30+H31+H32+H33</f>
        <v>1331878.8785356504</v>
      </c>
      <c r="I34" s="653"/>
      <c r="J34" s="654"/>
      <c r="K34" s="654"/>
      <c r="L34" s="654"/>
      <c r="M34" s="655"/>
      <c r="N34" s="631">
        <f>'Исход дан'!D$11</f>
        <v>11325.5</v>
      </c>
      <c r="O34" s="894">
        <f>ROUND(H34/N34/12,2)</f>
        <v>9.8</v>
      </c>
      <c r="P34" s="368"/>
    </row>
    <row r="35" spans="1:15" s="1" customFormat="1" ht="33.75" hidden="1">
      <c r="A35" s="124" t="s">
        <v>331</v>
      </c>
      <c r="B35" s="657" t="s">
        <v>175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332</v>
      </c>
      <c r="B36" s="665" t="s">
        <v>176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7"/>
      <c r="I38" s="678"/>
      <c r="J38" s="679"/>
      <c r="K38" s="678"/>
      <c r="L38" s="679"/>
      <c r="M38" s="677"/>
      <c r="N38" s="678"/>
      <c r="O38" s="847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0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5.875" style="256" customWidth="1"/>
    <col min="4" max="4" width="13.25390625" style="256" customWidth="1"/>
    <col min="5" max="5" width="28.875" style="256" customWidth="1"/>
    <col min="6" max="6" width="11.25390625" style="31" bestFit="1" customWidth="1"/>
    <col min="7" max="16384" width="9.125" style="31" customWidth="1"/>
  </cols>
  <sheetData>
    <row r="1" spans="1:5" ht="16.5" customHeight="1" thickBot="1">
      <c r="A1" s="959" t="s">
        <v>781</v>
      </c>
      <c r="B1" s="959"/>
      <c r="C1" s="959"/>
      <c r="D1" s="959"/>
      <c r="E1" s="959"/>
    </row>
    <row r="2" spans="1:5" ht="22.5" customHeight="1">
      <c r="A2" s="842" t="s">
        <v>196</v>
      </c>
      <c r="B2" s="843" t="s">
        <v>197</v>
      </c>
      <c r="C2" s="843" t="s">
        <v>198</v>
      </c>
      <c r="D2" s="843" t="s">
        <v>473</v>
      </c>
      <c r="E2" s="844" t="s">
        <v>472</v>
      </c>
    </row>
    <row r="3" spans="1:5" ht="10.5" customHeight="1">
      <c r="A3" s="777"/>
      <c r="B3" s="890" t="s">
        <v>252</v>
      </c>
      <c r="C3" s="776"/>
      <c r="D3" s="776"/>
      <c r="E3" s="891">
        <f>'Исход дан'!D11</f>
        <v>11325.5</v>
      </c>
    </row>
    <row r="4" spans="1:5" ht="12" customHeight="1">
      <c r="A4" s="963" t="s">
        <v>334</v>
      </c>
      <c r="B4" s="964"/>
      <c r="C4" s="964"/>
      <c r="D4" s="964"/>
      <c r="E4" s="965"/>
    </row>
    <row r="5" spans="1:7" s="260" customFormat="1" ht="10.5" customHeight="1">
      <c r="A5" s="852" t="s">
        <v>199</v>
      </c>
      <c r="B5" s="853" t="s">
        <v>200</v>
      </c>
      <c r="C5" s="854"/>
      <c r="D5" s="855">
        <v>104058.95</v>
      </c>
      <c r="E5" s="858">
        <f>ROUND(D5/E$3/12,2)</f>
        <v>0.77</v>
      </c>
      <c r="F5" s="260">
        <v>6075</v>
      </c>
      <c r="G5" s="342"/>
    </row>
    <row r="6" spans="1:7" ht="22.5" customHeight="1">
      <c r="A6" s="852" t="s">
        <v>201</v>
      </c>
      <c r="B6" s="857" t="s">
        <v>735</v>
      </c>
      <c r="C6" s="854" t="s">
        <v>202</v>
      </c>
      <c r="D6" s="855"/>
      <c r="E6" s="858"/>
      <c r="F6" s="260"/>
      <c r="G6" s="260"/>
    </row>
    <row r="7" spans="1:7" ht="11.25" customHeight="1">
      <c r="A7" s="852" t="s">
        <v>340</v>
      </c>
      <c r="B7" s="853" t="s">
        <v>742</v>
      </c>
      <c r="C7" s="854" t="s">
        <v>208</v>
      </c>
      <c r="D7" s="855"/>
      <c r="E7" s="858"/>
      <c r="F7" s="260"/>
      <c r="G7" s="260"/>
    </row>
    <row r="8" spans="1:7" ht="11.25" customHeight="1">
      <c r="A8" s="852" t="s">
        <v>341</v>
      </c>
      <c r="B8" s="853" t="s">
        <v>750</v>
      </c>
      <c r="C8" s="854" t="s">
        <v>208</v>
      </c>
      <c r="D8" s="855"/>
      <c r="E8" s="858"/>
      <c r="F8" s="260"/>
      <c r="G8" s="260"/>
    </row>
    <row r="9" spans="1:7" ht="11.25" customHeight="1">
      <c r="A9" s="852" t="s">
        <v>342</v>
      </c>
      <c r="B9" s="857" t="s">
        <v>254</v>
      </c>
      <c r="C9" s="854" t="s">
        <v>205</v>
      </c>
      <c r="D9" s="855"/>
      <c r="E9" s="858"/>
      <c r="F9" s="260"/>
      <c r="G9" s="260"/>
    </row>
    <row r="10" spans="1:7" ht="10.5" customHeight="1">
      <c r="A10" s="852" t="s">
        <v>343</v>
      </c>
      <c r="B10" s="853" t="s">
        <v>204</v>
      </c>
      <c r="C10" s="854" t="s">
        <v>205</v>
      </c>
      <c r="D10" s="855"/>
      <c r="E10" s="858"/>
      <c r="F10" s="260"/>
      <c r="G10" s="260"/>
    </row>
    <row r="11" spans="1:7" ht="11.25" customHeight="1">
      <c r="A11" s="852" t="s">
        <v>344</v>
      </c>
      <c r="B11" s="853" t="s">
        <v>206</v>
      </c>
      <c r="C11" s="854" t="s">
        <v>205</v>
      </c>
      <c r="D11" s="855"/>
      <c r="E11" s="858"/>
      <c r="F11" s="260"/>
      <c r="G11" s="260"/>
    </row>
    <row r="12" spans="1:7" s="253" customFormat="1" ht="23.25" customHeight="1">
      <c r="A12" s="852" t="s">
        <v>736</v>
      </c>
      <c r="B12" s="857" t="s">
        <v>774</v>
      </c>
      <c r="C12" s="854" t="s">
        <v>203</v>
      </c>
      <c r="D12" s="855"/>
      <c r="E12" s="858"/>
      <c r="F12" s="905"/>
      <c r="G12" s="905"/>
    </row>
    <row r="13" spans="1:7" ht="24" customHeight="1">
      <c r="A13" s="852" t="s">
        <v>751</v>
      </c>
      <c r="B13" s="853" t="s">
        <v>207</v>
      </c>
      <c r="C13" s="854" t="s">
        <v>208</v>
      </c>
      <c r="D13" s="855"/>
      <c r="E13" s="858"/>
      <c r="F13" s="260"/>
      <c r="G13" s="260"/>
    </row>
    <row r="14" spans="1:7" ht="11.25" customHeight="1">
      <c r="A14" s="960" t="s">
        <v>470</v>
      </c>
      <c r="B14" s="961"/>
      <c r="C14" s="961"/>
      <c r="D14" s="961"/>
      <c r="E14" s="962"/>
      <c r="F14" s="260"/>
      <c r="G14" s="260"/>
    </row>
    <row r="15" spans="1:7" s="260" customFormat="1" ht="14.25">
      <c r="A15" s="852" t="s">
        <v>345</v>
      </c>
      <c r="B15" s="853" t="s">
        <v>209</v>
      </c>
      <c r="C15" s="854"/>
      <c r="D15" s="855">
        <v>143046.31</v>
      </c>
      <c r="E15" s="856">
        <f>ROUND(D15/E$3/12,2)</f>
        <v>1.05</v>
      </c>
      <c r="F15" s="353">
        <v>83.511</v>
      </c>
      <c r="G15" s="342"/>
    </row>
    <row r="16" spans="1:7" s="259" customFormat="1" ht="12" customHeight="1">
      <c r="A16" s="852" t="s">
        <v>66</v>
      </c>
      <c r="B16" s="887" t="s">
        <v>210</v>
      </c>
      <c r="C16" s="854"/>
      <c r="D16" s="855"/>
      <c r="E16" s="856"/>
      <c r="F16" s="260"/>
      <c r="G16" s="260"/>
    </row>
    <row r="17" spans="1:7" ht="23.25" customHeight="1">
      <c r="A17" s="852" t="s">
        <v>211</v>
      </c>
      <c r="B17" s="853" t="s">
        <v>212</v>
      </c>
      <c r="C17" s="854" t="s">
        <v>213</v>
      </c>
      <c r="D17" s="869"/>
      <c r="E17" s="853"/>
      <c r="F17" s="260"/>
      <c r="G17" s="260"/>
    </row>
    <row r="18" spans="1:7" ht="22.5" customHeight="1">
      <c r="A18" s="852" t="s">
        <v>214</v>
      </c>
      <c r="B18" s="853" t="s">
        <v>215</v>
      </c>
      <c r="C18" s="854" t="s">
        <v>216</v>
      </c>
      <c r="D18" s="869"/>
      <c r="E18" s="853"/>
      <c r="F18" s="260"/>
      <c r="G18" s="260"/>
    </row>
    <row r="19" spans="1:7" ht="24">
      <c r="A19" s="852" t="s">
        <v>217</v>
      </c>
      <c r="B19" s="853" t="s">
        <v>218</v>
      </c>
      <c r="C19" s="884" t="s">
        <v>219</v>
      </c>
      <c r="D19" s="869"/>
      <c r="E19" s="853"/>
      <c r="F19" s="260"/>
      <c r="G19" s="260"/>
    </row>
    <row r="20" spans="1:7" ht="34.5" customHeight="1">
      <c r="A20" s="852" t="s">
        <v>220</v>
      </c>
      <c r="B20" s="853" t="s">
        <v>221</v>
      </c>
      <c r="C20" s="854" t="s">
        <v>253</v>
      </c>
      <c r="D20" s="869"/>
      <c r="E20" s="853"/>
      <c r="F20" s="260"/>
      <c r="G20" s="260"/>
    </row>
    <row r="21" spans="1:7" ht="14.25" customHeight="1">
      <c r="A21" s="852" t="s">
        <v>222</v>
      </c>
      <c r="B21" s="853" t="s">
        <v>223</v>
      </c>
      <c r="C21" s="854" t="s">
        <v>224</v>
      </c>
      <c r="D21" s="869"/>
      <c r="E21" s="853"/>
      <c r="F21" s="260"/>
      <c r="G21" s="260"/>
    </row>
    <row r="22" spans="1:7" ht="12" customHeight="1">
      <c r="A22" s="852" t="s">
        <v>225</v>
      </c>
      <c r="B22" s="853" t="s">
        <v>226</v>
      </c>
      <c r="C22" s="854" t="s">
        <v>227</v>
      </c>
      <c r="D22" s="869"/>
      <c r="E22" s="853"/>
      <c r="F22" s="260"/>
      <c r="G22" s="260"/>
    </row>
    <row r="23" spans="1:7" ht="12" customHeight="1">
      <c r="A23" s="852" t="s">
        <v>734</v>
      </c>
      <c r="B23" s="853" t="s">
        <v>228</v>
      </c>
      <c r="C23" s="854" t="s">
        <v>202</v>
      </c>
      <c r="D23" s="855"/>
      <c r="E23" s="856"/>
      <c r="F23" s="260"/>
      <c r="G23" s="260"/>
    </row>
    <row r="24" spans="1:7" s="259" customFormat="1" ht="11.25" customHeight="1">
      <c r="A24" s="852" t="s">
        <v>67</v>
      </c>
      <c r="B24" s="887" t="s">
        <v>229</v>
      </c>
      <c r="C24" s="854"/>
      <c r="D24" s="855"/>
      <c r="E24" s="856"/>
      <c r="F24" s="260"/>
      <c r="G24" s="260"/>
    </row>
    <row r="25" spans="1:7" ht="12" customHeight="1">
      <c r="A25" s="852" t="s">
        <v>488</v>
      </c>
      <c r="B25" s="853" t="s">
        <v>775</v>
      </c>
      <c r="C25" s="854" t="s">
        <v>776</v>
      </c>
      <c r="D25" s="869"/>
      <c r="E25" s="853"/>
      <c r="F25" s="260"/>
      <c r="G25" s="260"/>
    </row>
    <row r="26" spans="1:7" ht="24">
      <c r="A26" s="852" t="s">
        <v>230</v>
      </c>
      <c r="B26" s="853" t="s">
        <v>231</v>
      </c>
      <c r="C26" s="854" t="s">
        <v>232</v>
      </c>
      <c r="D26" s="855"/>
      <c r="E26" s="854"/>
      <c r="F26" s="260"/>
      <c r="G26" s="260"/>
    </row>
    <row r="27" spans="1:7" ht="15" customHeight="1">
      <c r="A27" s="852" t="s">
        <v>780</v>
      </c>
      <c r="B27" s="853" t="s">
        <v>711</v>
      </c>
      <c r="C27" s="854" t="s">
        <v>233</v>
      </c>
      <c r="D27" s="855"/>
      <c r="E27" s="856"/>
      <c r="F27" s="260"/>
      <c r="G27" s="260"/>
    </row>
    <row r="28" spans="1:7" ht="11.25" customHeight="1">
      <c r="A28" s="852" t="s">
        <v>251</v>
      </c>
      <c r="B28" s="853" t="s">
        <v>228</v>
      </c>
      <c r="C28" s="854" t="s">
        <v>202</v>
      </c>
      <c r="D28" s="855"/>
      <c r="E28" s="856"/>
      <c r="F28" s="260"/>
      <c r="G28" s="260"/>
    </row>
    <row r="29" spans="1:7" s="261" customFormat="1" ht="12.75" customHeight="1">
      <c r="A29" s="852" t="s">
        <v>68</v>
      </c>
      <c r="B29" s="859" t="s">
        <v>371</v>
      </c>
      <c r="C29" s="854" t="s">
        <v>236</v>
      </c>
      <c r="D29" s="855">
        <v>40413.74</v>
      </c>
      <c r="E29" s="858">
        <f>ROUND(D29/E$3/12,2)</f>
        <v>0.3</v>
      </c>
      <c r="F29" s="260">
        <v>2359.37</v>
      </c>
      <c r="G29" s="342"/>
    </row>
    <row r="30" spans="1:7" s="261" customFormat="1" ht="12" customHeight="1">
      <c r="A30" s="852" t="s">
        <v>489</v>
      </c>
      <c r="B30" s="859" t="s">
        <v>466</v>
      </c>
      <c r="C30" s="854" t="s">
        <v>236</v>
      </c>
      <c r="D30" s="855">
        <v>23093.15</v>
      </c>
      <c r="E30" s="856">
        <f>D30/E$3/12</f>
        <v>0.16992001824790667</v>
      </c>
      <c r="F30" s="260">
        <v>1348.18</v>
      </c>
      <c r="G30" s="342"/>
    </row>
    <row r="31" spans="1:7" s="261" customFormat="1" ht="15.75" customHeight="1">
      <c r="A31" s="960" t="s">
        <v>335</v>
      </c>
      <c r="B31" s="961"/>
      <c r="C31" s="961"/>
      <c r="D31" s="961"/>
      <c r="E31" s="962"/>
      <c r="F31" s="260"/>
      <c r="G31" s="342"/>
    </row>
    <row r="32" spans="1:7" ht="25.5" customHeight="1">
      <c r="A32" s="852" t="s">
        <v>69</v>
      </c>
      <c r="B32" s="853" t="s">
        <v>249</v>
      </c>
      <c r="C32" s="854" t="s">
        <v>235</v>
      </c>
      <c r="D32" s="855">
        <v>6818.43</v>
      </c>
      <c r="E32" s="858">
        <f aca="true" t="shared" si="0" ref="E32:E40">ROUND(D32/E$3/12,2)</f>
        <v>0.05</v>
      </c>
      <c r="F32" s="260">
        <v>398.06</v>
      </c>
      <c r="G32" s="342"/>
    </row>
    <row r="33" spans="1:7" ht="12.75" customHeight="1">
      <c r="A33" s="852" t="s">
        <v>755</v>
      </c>
      <c r="B33" s="853" t="s">
        <v>754</v>
      </c>
      <c r="C33" s="854" t="s">
        <v>236</v>
      </c>
      <c r="D33" s="855">
        <f>профраб!I11+профраб!I12</f>
        <v>0</v>
      </c>
      <c r="E33" s="858">
        <f t="shared" si="0"/>
        <v>0</v>
      </c>
      <c r="F33" s="260"/>
      <c r="G33" s="342"/>
    </row>
    <row r="34" spans="1:7" ht="11.25" customHeight="1">
      <c r="A34" s="852" t="s">
        <v>70</v>
      </c>
      <c r="B34" s="853" t="s">
        <v>468</v>
      </c>
      <c r="C34" s="854" t="s">
        <v>235</v>
      </c>
      <c r="D34" s="855">
        <v>14350</v>
      </c>
      <c r="E34" s="856">
        <f t="shared" si="0"/>
        <v>0.11</v>
      </c>
      <c r="F34" s="260">
        <v>837.76</v>
      </c>
      <c r="G34" s="342"/>
    </row>
    <row r="35" spans="1:7" ht="24.75" customHeight="1">
      <c r="A35" s="852" t="s">
        <v>346</v>
      </c>
      <c r="B35" s="853" t="s">
        <v>248</v>
      </c>
      <c r="C35" s="854" t="s">
        <v>235</v>
      </c>
      <c r="D35" s="855">
        <v>24044.24</v>
      </c>
      <c r="E35" s="858">
        <f t="shared" si="0"/>
        <v>0.18</v>
      </c>
      <c r="F35" s="260">
        <v>1403.71</v>
      </c>
      <c r="G35" s="342"/>
    </row>
    <row r="36" spans="1:7" ht="24" customHeight="1">
      <c r="A36" s="852" t="s">
        <v>347</v>
      </c>
      <c r="B36" s="853" t="s">
        <v>246</v>
      </c>
      <c r="C36" s="854" t="s">
        <v>235</v>
      </c>
      <c r="D36" s="855">
        <v>48739.8</v>
      </c>
      <c r="E36" s="858">
        <f t="shared" si="0"/>
        <v>0.36</v>
      </c>
      <c r="F36" s="260">
        <v>2845.45</v>
      </c>
      <c r="G36" s="342"/>
    </row>
    <row r="37" spans="1:7" ht="24.75" customHeight="1">
      <c r="A37" s="852" t="s">
        <v>348</v>
      </c>
      <c r="B37" s="853" t="s">
        <v>739</v>
      </c>
      <c r="C37" s="854" t="s">
        <v>235</v>
      </c>
      <c r="D37" s="855">
        <v>45500.65</v>
      </c>
      <c r="E37" s="858">
        <f t="shared" si="0"/>
        <v>0.33</v>
      </c>
      <c r="F37" s="260">
        <v>2656.35</v>
      </c>
      <c r="G37" s="342"/>
    </row>
    <row r="38" spans="1:7" ht="12" customHeight="1">
      <c r="A38" s="852" t="s">
        <v>753</v>
      </c>
      <c r="B38" s="853" t="s">
        <v>238</v>
      </c>
      <c r="C38" s="854" t="s">
        <v>235</v>
      </c>
      <c r="D38" s="855">
        <v>16131.89</v>
      </c>
      <c r="E38" s="858">
        <f t="shared" si="0"/>
        <v>0.12</v>
      </c>
      <c r="F38" s="260">
        <v>941.79</v>
      </c>
      <c r="G38" s="342"/>
    </row>
    <row r="39" spans="1:7" s="261" customFormat="1" ht="11.25" customHeight="1">
      <c r="A39" s="960" t="s">
        <v>336</v>
      </c>
      <c r="B39" s="961"/>
      <c r="C39" s="961"/>
      <c r="D39" s="961"/>
      <c r="E39" s="962"/>
      <c r="F39" s="260"/>
      <c r="G39" s="342"/>
    </row>
    <row r="40" spans="1:7" s="260" customFormat="1" ht="13.5" customHeight="1">
      <c r="A40" s="852" t="s">
        <v>349</v>
      </c>
      <c r="B40" s="853" t="s">
        <v>234</v>
      </c>
      <c r="C40" s="854" t="s">
        <v>777</v>
      </c>
      <c r="D40" s="855">
        <v>15876.9</v>
      </c>
      <c r="E40" s="858">
        <f t="shared" si="0"/>
        <v>0.12</v>
      </c>
      <c r="F40" s="260">
        <v>926.9</v>
      </c>
      <c r="G40" s="342"/>
    </row>
    <row r="41" spans="1:7" s="260" customFormat="1" ht="13.5" customHeight="1">
      <c r="A41" s="852" t="s">
        <v>350</v>
      </c>
      <c r="B41" s="853" t="s">
        <v>192</v>
      </c>
      <c r="C41" s="854" t="s">
        <v>513</v>
      </c>
      <c r="D41" s="855">
        <v>10103.87</v>
      </c>
      <c r="E41" s="860">
        <f>D41/E$3/12</f>
        <v>0.07434454696628552</v>
      </c>
      <c r="F41" s="260">
        <v>589.87</v>
      </c>
      <c r="G41" s="342"/>
    </row>
    <row r="42" spans="1:7" s="260" customFormat="1" ht="14.25">
      <c r="A42" s="852" t="s">
        <v>351</v>
      </c>
      <c r="B42" s="853" t="s">
        <v>467</v>
      </c>
      <c r="C42" s="854" t="s">
        <v>236</v>
      </c>
      <c r="D42" s="855">
        <v>37526.36</v>
      </c>
      <c r="E42" s="856">
        <f>D42/E$3/12</f>
        <v>0.2761199652701132</v>
      </c>
      <c r="F42" s="260">
        <v>2190.8</v>
      </c>
      <c r="G42" s="342"/>
    </row>
    <row r="43" spans="1:7" s="260" customFormat="1" ht="12.75" customHeight="1">
      <c r="A43" s="852" t="s">
        <v>490</v>
      </c>
      <c r="B43" s="859" t="s">
        <v>463</v>
      </c>
      <c r="C43" s="854" t="s">
        <v>236</v>
      </c>
      <c r="D43" s="855">
        <v>17319.86</v>
      </c>
      <c r="E43" s="860">
        <f>D43/E$3/12</f>
        <v>0.1274399952908628</v>
      </c>
      <c r="F43" s="260">
        <v>1011.14</v>
      </c>
      <c r="G43" s="342"/>
    </row>
    <row r="44" spans="1:7" s="39" customFormat="1" ht="11.25" customHeight="1">
      <c r="A44" s="852" t="s">
        <v>352</v>
      </c>
      <c r="B44" s="853" t="s">
        <v>245</v>
      </c>
      <c r="C44" s="861"/>
      <c r="D44" s="862"/>
      <c r="E44" s="863"/>
      <c r="F44" s="352"/>
      <c r="G44" s="351"/>
    </row>
    <row r="45" spans="1:7" ht="24">
      <c r="A45" s="852" t="s">
        <v>338</v>
      </c>
      <c r="B45" s="853" t="s">
        <v>242</v>
      </c>
      <c r="C45" s="854" t="s">
        <v>310</v>
      </c>
      <c r="D45" s="855">
        <v>4306.21</v>
      </c>
      <c r="E45" s="856">
        <f aca="true" t="shared" si="1" ref="E45:E54">ROUND(D45/E$3/12,2)</f>
        <v>0.03</v>
      </c>
      <c r="F45" s="260">
        <v>251.4</v>
      </c>
      <c r="G45" s="342"/>
    </row>
    <row r="46" spans="1:7" ht="24" customHeight="1">
      <c r="A46" s="852" t="s">
        <v>353</v>
      </c>
      <c r="B46" s="853" t="s">
        <v>333</v>
      </c>
      <c r="C46" s="854" t="s">
        <v>237</v>
      </c>
      <c r="D46" s="855">
        <v>6710.98</v>
      </c>
      <c r="E46" s="856">
        <f t="shared" si="1"/>
        <v>0.05</v>
      </c>
      <c r="F46" s="260">
        <v>391.79</v>
      </c>
      <c r="G46" s="342"/>
    </row>
    <row r="47" spans="1:7" ht="24">
      <c r="A47" s="852" t="s">
        <v>354</v>
      </c>
      <c r="B47" s="853" t="s">
        <v>243</v>
      </c>
      <c r="C47" s="854" t="s">
        <v>169</v>
      </c>
      <c r="D47" s="855">
        <v>1532.97</v>
      </c>
      <c r="E47" s="856">
        <f t="shared" si="1"/>
        <v>0.01</v>
      </c>
      <c r="F47" s="260">
        <v>89.5</v>
      </c>
      <c r="G47" s="342"/>
    </row>
    <row r="48" spans="1:7" ht="24">
      <c r="A48" s="852" t="s">
        <v>355</v>
      </c>
      <c r="B48" s="853" t="s">
        <v>244</v>
      </c>
      <c r="C48" s="854" t="s">
        <v>169</v>
      </c>
      <c r="D48" s="855">
        <v>4473.98</v>
      </c>
      <c r="E48" s="899">
        <v>0.03</v>
      </c>
      <c r="F48" s="260">
        <v>261.19</v>
      </c>
      <c r="G48" s="342"/>
    </row>
    <row r="49" spans="1:7" s="39" customFormat="1" ht="11.25" customHeight="1">
      <c r="A49" s="852" t="s">
        <v>356</v>
      </c>
      <c r="B49" s="864" t="s">
        <v>339</v>
      </c>
      <c r="C49" s="865"/>
      <c r="D49" s="862"/>
      <c r="E49" s="886"/>
      <c r="G49" s="351"/>
    </row>
    <row r="50" spans="1:7" s="39" customFormat="1" ht="22.5" customHeight="1">
      <c r="A50" s="852" t="s">
        <v>361</v>
      </c>
      <c r="B50" s="857" t="str">
        <f>'[1]Проф раб'!C7</f>
        <v>Очистка техэтажей от мусора со сбором его в тару и отноской в установленное место</v>
      </c>
      <c r="C50" s="854" t="s">
        <v>235</v>
      </c>
      <c r="D50" s="855">
        <v>2909.38</v>
      </c>
      <c r="E50" s="858">
        <f t="shared" si="1"/>
        <v>0.02</v>
      </c>
      <c r="F50" s="39">
        <v>169.85</v>
      </c>
      <c r="G50" s="351"/>
    </row>
    <row r="51" spans="1:7" ht="12.75" customHeight="1">
      <c r="A51" s="852" t="s">
        <v>491</v>
      </c>
      <c r="B51" s="853" t="s">
        <v>165</v>
      </c>
      <c r="C51" s="854" t="s">
        <v>235</v>
      </c>
      <c r="D51" s="855">
        <f>профраб!I8</f>
        <v>0</v>
      </c>
      <c r="E51" s="858">
        <f>ROUND(D51/E$3/12,3)</f>
        <v>0</v>
      </c>
      <c r="F51" s="260"/>
      <c r="G51" s="342"/>
    </row>
    <row r="52" spans="1:7" ht="13.5" customHeight="1">
      <c r="A52" s="852" t="s">
        <v>492</v>
      </c>
      <c r="B52" s="853" t="s">
        <v>166</v>
      </c>
      <c r="C52" s="854" t="s">
        <v>235</v>
      </c>
      <c r="D52" s="855">
        <v>2909.38</v>
      </c>
      <c r="E52" s="858">
        <f t="shared" si="1"/>
        <v>0.02</v>
      </c>
      <c r="F52" s="260">
        <v>169.85</v>
      </c>
      <c r="G52" s="342"/>
    </row>
    <row r="53" spans="1:7" ht="15" customHeight="1">
      <c r="A53" s="852" t="s">
        <v>493</v>
      </c>
      <c r="B53" s="853" t="s">
        <v>113</v>
      </c>
      <c r="C53" s="854" t="s">
        <v>236</v>
      </c>
      <c r="D53" s="855">
        <v>8232.59</v>
      </c>
      <c r="E53" s="856">
        <f t="shared" si="1"/>
        <v>0.06</v>
      </c>
      <c r="F53" s="260">
        <v>480.62</v>
      </c>
      <c r="G53" s="342"/>
    </row>
    <row r="54" spans="1:7" ht="13.5" customHeight="1">
      <c r="A54" s="852" t="s">
        <v>494</v>
      </c>
      <c r="B54" s="853" t="s">
        <v>118</v>
      </c>
      <c r="C54" s="854" t="s">
        <v>235</v>
      </c>
      <c r="D54" s="855">
        <v>8278.01</v>
      </c>
      <c r="E54" s="858">
        <f t="shared" si="1"/>
        <v>0.06</v>
      </c>
      <c r="F54" s="260">
        <v>483.27</v>
      </c>
      <c r="G54" s="342"/>
    </row>
    <row r="55" spans="1:7" ht="13.5" customHeight="1">
      <c r="A55" s="852" t="s">
        <v>495</v>
      </c>
      <c r="B55" s="853" t="s">
        <v>247</v>
      </c>
      <c r="C55" s="854" t="s">
        <v>235</v>
      </c>
      <c r="D55" s="855">
        <v>2554.94</v>
      </c>
      <c r="E55" s="858">
        <f>ROUND(D55/E$3/12,3)</f>
        <v>0.019</v>
      </c>
      <c r="F55" s="260">
        <v>149.16</v>
      </c>
      <c r="G55" s="342"/>
    </row>
    <row r="56" spans="1:7" ht="36" customHeight="1">
      <c r="A56" s="852" t="s">
        <v>496</v>
      </c>
      <c r="B56" s="853" t="s">
        <v>738</v>
      </c>
      <c r="C56" s="854" t="s">
        <v>737</v>
      </c>
      <c r="D56" s="855">
        <v>298705.98</v>
      </c>
      <c r="E56" s="858">
        <f>D56/12/11307.05</f>
        <v>2.2014729748254407</v>
      </c>
      <c r="F56" s="895">
        <v>17438.58</v>
      </c>
      <c r="G56" s="342"/>
    </row>
    <row r="57" spans="1:7" s="261" customFormat="1" ht="11.25" customHeight="1">
      <c r="A57" s="967" t="s">
        <v>337</v>
      </c>
      <c r="B57" s="968"/>
      <c r="C57" s="968"/>
      <c r="D57" s="968"/>
      <c r="E57" s="969"/>
      <c r="F57" s="260"/>
      <c r="G57" s="342"/>
    </row>
    <row r="58" spans="1:7" s="260" customFormat="1" ht="12" customHeight="1">
      <c r="A58" s="852" t="s">
        <v>357</v>
      </c>
      <c r="B58" s="853" t="s">
        <v>191</v>
      </c>
      <c r="C58" s="854" t="s">
        <v>236</v>
      </c>
      <c r="D58" s="855"/>
      <c r="E58" s="858">
        <f aca="true" t="shared" si="2" ref="E58:E63">ROUND(D58/E$3/12,2)</f>
        <v>0</v>
      </c>
      <c r="F58" s="260">
        <v>8931.74</v>
      </c>
      <c r="G58" s="342"/>
    </row>
    <row r="59" spans="1:7" s="261" customFormat="1" ht="23.25" customHeight="1">
      <c r="A59" s="852" t="s">
        <v>741</v>
      </c>
      <c r="B59" s="853" t="s">
        <v>360</v>
      </c>
      <c r="C59" s="854" t="s">
        <v>250</v>
      </c>
      <c r="D59" s="855">
        <v>15930</v>
      </c>
      <c r="E59" s="858">
        <f t="shared" si="2"/>
        <v>0.12</v>
      </c>
      <c r="F59" s="260">
        <v>930</v>
      </c>
      <c r="G59" s="342"/>
    </row>
    <row r="60" spans="1:7" s="261" customFormat="1" ht="11.25" customHeight="1">
      <c r="A60" s="852" t="s">
        <v>479</v>
      </c>
      <c r="B60" s="853" t="s">
        <v>471</v>
      </c>
      <c r="C60" s="854" t="s">
        <v>236</v>
      </c>
      <c r="D60" s="855">
        <v>44742.97</v>
      </c>
      <c r="E60" s="858">
        <f t="shared" si="2"/>
        <v>0.33</v>
      </c>
      <c r="F60" s="260">
        <v>2612.11</v>
      </c>
      <c r="G60" s="342"/>
    </row>
    <row r="61" spans="1:7" s="261" customFormat="1" ht="11.25" customHeight="1">
      <c r="A61" s="866" t="s">
        <v>372</v>
      </c>
      <c r="B61" s="867" t="s">
        <v>397</v>
      </c>
      <c r="C61" s="854" t="s">
        <v>236</v>
      </c>
      <c r="D61" s="868">
        <v>282891.06</v>
      </c>
      <c r="E61" s="858">
        <f t="shared" si="2"/>
        <v>2.08</v>
      </c>
      <c r="F61" s="260">
        <v>16515.3</v>
      </c>
      <c r="G61" s="342"/>
    </row>
    <row r="62" spans="1:7" s="261" customFormat="1" ht="11.25" customHeight="1">
      <c r="A62" s="866" t="s">
        <v>699</v>
      </c>
      <c r="B62" s="867" t="s">
        <v>398</v>
      </c>
      <c r="C62" s="854" t="s">
        <v>236</v>
      </c>
      <c r="D62" s="868">
        <v>30260.63</v>
      </c>
      <c r="E62" s="858">
        <f t="shared" si="2"/>
        <v>0.22</v>
      </c>
      <c r="F62" s="260">
        <v>1766.63</v>
      </c>
      <c r="G62" s="342"/>
    </row>
    <row r="63" spans="1:7" s="261" customFormat="1" ht="11.25" customHeight="1">
      <c r="A63" s="866" t="s">
        <v>700</v>
      </c>
      <c r="B63" s="867" t="s">
        <v>464</v>
      </c>
      <c r="C63" s="854" t="s">
        <v>236</v>
      </c>
      <c r="D63" s="868">
        <f>'ВСЕ раб'!H33</f>
        <v>0</v>
      </c>
      <c r="E63" s="858">
        <f t="shared" si="2"/>
        <v>0</v>
      </c>
      <c r="F63" s="260"/>
      <c r="G63" s="342"/>
    </row>
    <row r="64" spans="1:7" s="5" customFormat="1" ht="14.25" customHeight="1">
      <c r="A64" s="909"/>
      <c r="B64" s="908" t="s">
        <v>239</v>
      </c>
      <c r="C64" s="910"/>
      <c r="D64" s="911">
        <f>D63+D62+D61+D60+D59+D58+D56+D55+D54+D53+D52+D51+D50+D48+D47+D46+D45+D43+D42+D41+D40+D38+D37+D36+D35+D34+D33+D32+D30+D29+D15+D5</f>
        <v>1261463.23</v>
      </c>
      <c r="E64" s="912">
        <f>D64/12/E3</f>
        <v>9.281880343767016</v>
      </c>
      <c r="F64" s="39"/>
      <c r="G64" s="351"/>
    </row>
    <row r="65" spans="1:7" s="261" customFormat="1" ht="13.5" customHeight="1">
      <c r="A65" s="866"/>
      <c r="B65" s="867" t="s">
        <v>752</v>
      </c>
      <c r="C65" s="898"/>
      <c r="D65" s="868">
        <v>456089.66</v>
      </c>
      <c r="E65" s="914">
        <f>D65/12/E3</f>
        <v>3.3559199740997454</v>
      </c>
      <c r="F65" s="260">
        <v>26626.7</v>
      </c>
      <c r="G65" s="342"/>
    </row>
    <row r="66" spans="1:7" ht="17.25" customHeight="1" thickBot="1">
      <c r="A66" s="888"/>
      <c r="B66" s="893" t="s">
        <v>239</v>
      </c>
      <c r="C66" s="889"/>
      <c r="D66" s="892">
        <f>D5+D15+D29+D30+D32+D33+D34+D35+D36+D37+D38+D40+D41+D42+D43+D45+D46+D47+D48+D50+D51+D52+D53+D54+D55+D56+D58+D59+D60+D61+D62+D63+D65</f>
        <v>1717552.8899999997</v>
      </c>
      <c r="E66" s="913">
        <f>D66/12/E3</f>
        <v>12.637800317866759</v>
      </c>
      <c r="F66" s="260"/>
      <c r="G66" s="342"/>
    </row>
    <row r="67" spans="1:5" ht="12.75">
      <c r="A67" s="257"/>
      <c r="B67" s="255"/>
      <c r="C67" s="254"/>
      <c r="D67" s="254"/>
      <c r="E67" s="851"/>
    </row>
    <row r="68" spans="1:5" ht="12.75">
      <c r="A68" s="258"/>
      <c r="D68" s="262"/>
      <c r="E68" s="915" t="s">
        <v>782</v>
      </c>
    </row>
    <row r="69" spans="4:5" ht="12.75">
      <c r="D69" s="262"/>
      <c r="E69" s="870" t="s">
        <v>783</v>
      </c>
    </row>
    <row r="70" spans="2:5" ht="12.75">
      <c r="B70" s="966"/>
      <c r="C70" s="966"/>
      <c r="E70" s="870"/>
    </row>
    <row r="71" ht="12.75">
      <c r="E71" s="3"/>
    </row>
    <row r="75" ht="12.75">
      <c r="E75" s="850"/>
    </row>
  </sheetData>
  <sheetProtection/>
  <mergeCells count="7">
    <mergeCell ref="A1:E1"/>
    <mergeCell ref="A14:E14"/>
    <mergeCell ref="A4:E4"/>
    <mergeCell ref="B70:C70"/>
    <mergeCell ref="A31:E31"/>
    <mergeCell ref="A39:E39"/>
    <mergeCell ref="A57:E57"/>
  </mergeCells>
  <printOptions/>
  <pageMargins left="0.7874015748031497" right="0.3937007874015748" top="0" bottom="0" header="0" footer="0"/>
  <pageSetup horizontalDpi="600" verticalDpi="600" orientation="portrait" paperSize="9" scale="74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1</cp:lastModifiedBy>
  <cp:lastPrinted>2014-08-08T13:13:40Z</cp:lastPrinted>
  <dcterms:created xsi:type="dcterms:W3CDTF">2007-07-20T13:26:54Z</dcterms:created>
  <dcterms:modified xsi:type="dcterms:W3CDTF">2014-08-08T13:15:21Z</dcterms:modified>
  <cp:category/>
  <cp:version/>
  <cp:contentType/>
  <cp:contentStatus/>
</cp:coreProperties>
</file>