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'Обязат'!$A$1:$H$74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<sst xmlns="http://schemas.openxmlformats.org/spreadsheetml/2006/main" count="1174" uniqueCount="774">
  <si>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</si>
  <si>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</si>
  <si>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</si>
  <si>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</si>
  <si>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</si>
  <si>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</si>
  <si>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</si>
  <si>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</si>
  <si>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</si>
  <si>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</si>
  <si>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</si>
  <si>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</si>
  <si>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</si>
  <si>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</si>
  <si>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</si>
  <si>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</si>
  <si>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</si>
  <si>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</si>
  <si>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</si>
  <si>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</si>
  <si>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</si>
  <si>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</si>
  <si>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</si>
  <si>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</si>
  <si>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</si>
  <si>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</si>
  <si>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</si>
  <si>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</si>
  <si>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</si>
  <si>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</si>
  <si>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</si>
  <si>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</si>
  <si>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</si>
  <si>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</si>
  <si>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</si>
  <si>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</si>
  <si>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</si>
  <si>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</si>
  <si>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</si>
  <si>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</si>
  <si>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</si>
  <si>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</si>
  <si>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</si>
  <si>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</si>
  <si>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</si>
  <si>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</si>
  <si>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</si>
  <si>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</si>
  <si>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</si>
  <si>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</si>
  <si>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</si>
  <si>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</si>
  <si>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</si>
  <si>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</si>
  <si>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</si>
  <si>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</si>
  <si>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</si>
  <si>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</si>
  <si>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</si>
  <si>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</si>
  <si>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</si>
  <si>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</si>
  <si>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</si>
  <si>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</si>
  <si>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</si>
  <si>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</si>
  <si>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</si>
  <si>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</si>
  <si>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</si>
  <si>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</si>
  <si>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</si>
  <si>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</si>
  <si>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</si>
  <si>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</si>
  <si>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</si>
  <si>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</si>
  <si>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</si>
  <si>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</si>
  <si>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</si>
  <si>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</si>
  <si>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</si>
  <si>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</si>
  <si>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</si>
  <si>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</si>
  <si>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</si>
  <si>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</si>
  <si>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</si>
  <si>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</si>
  <si>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</si>
  <si>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</si>
  <si>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</si>
  <si>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</si>
  <si>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</si>
  <si>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</si>
  <si>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</si>
  <si>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</si>
  <si>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</si>
  <si>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</si>
  <si>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</si>
  <si>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</si>
  <si>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</si>
  <si>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</si>
  <si>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</si>
  <si>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</si>
  <si>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</si>
  <si>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</si>
  <si>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</si>
  <si>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</si>
  <si>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</si>
  <si>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</si>
  <si>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</si>
  <si>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</si>
  <si>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</si>
  <si>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</si>
  <si>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</si>
  <si>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</si>
  <si>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</si>
  <si>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</si>
  <si>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</si>
  <si>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</si>
  <si>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</si>
  <si>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</si>
  <si>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</si>
  <si>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</si>
  <si>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</si>
  <si>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</si>
  <si>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</si>
  <si>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</si>
  <si>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</si>
  <si>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</si>
  <si>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</si>
  <si>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</si>
  <si>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</si>
  <si>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</si>
  <si>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</si>
  <si>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</si>
  <si>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</si>
  <si>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</si>
  <si>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</si>
  <si>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</si>
  <si>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</si>
  <si>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</si>
  <si>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</si>
  <si>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</si>
  <si>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</si>
  <si>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</si>
  <si>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</si>
  <si>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</si>
  <si>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</si>
  <si>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</si>
  <si>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</si>
  <si>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</si>
  <si>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</si>
  <si>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</si>
  <si>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</si>
  <si>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</si>
  <si>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</si>
  <si>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</si>
  <si>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</si>
  <si>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</si>
  <si>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</si>
  <si>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</si>
  <si>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</si>
  <si>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</si>
  <si>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</si>
  <si>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</si>
  <si>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</si>
  <si>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</si>
  <si>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</si>
  <si>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</si>
  <si>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</si>
  <si>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</si>
  <si>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</si>
  <si>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</si>
  <si>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</si>
  <si>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</si>
  <si>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</si>
  <si>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</si>
  <si>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</si>
  <si>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</si>
  <si>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</si>
  <si>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</si>
  <si>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</si>
  <si>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</si>
  <si>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</si>
  <si>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</si>
  <si>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</si>
  <si>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</si>
  <si>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</si>
  <si>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</si>
  <si>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</si>
  <si>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</si>
  <si>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</si>
  <si>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</si>
  <si>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</si>
  <si>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</si>
  <si>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</si>
  <si>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</si>
  <si>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</si>
  <si>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</si>
  <si>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</si>
  <si>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</si>
  <si>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</si>
  <si>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</si>
  <si>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</si>
  <si>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</si>
  <si>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</si>
  <si>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</si>
  <si>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</si>
  <si>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</si>
  <si>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</si>
  <si>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</si>
  <si>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</si>
  <si>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</si>
  <si>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</si>
  <si>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</si>
  <si>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</si>
  <si>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</si>
  <si>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</si>
  <si>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</si>
  <si>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</si>
  <si>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</si>
  <si>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</si>
  <si>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</si>
  <si>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</si>
  <si>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</si>
  <si>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</si>
  <si>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</si>
  <si>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</si>
  <si>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</si>
  <si>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</si>
  <si>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</si>
  <si>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</si>
  <si>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</si>
  <si>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</si>
  <si>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</si>
  <si>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</si>
  <si>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</si>
  <si>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</si>
  <si>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</si>
  <si>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</si>
  <si>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</si>
  <si>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</si>
  <si>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</si>
  <si>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</si>
  <si>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</si>
  <si>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</si>
  <si>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</si>
  <si>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</si>
  <si>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</si>
  <si>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</si>
  <si>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</si>
  <si>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</si>
  <si>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</si>
  <si>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</si>
  <si>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</si>
  <si>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</si>
  <si>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</si>
  <si>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</si>
  <si>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</si>
  <si>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</si>
  <si>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</si>
  <si>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</si>
  <si>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</si>
  <si>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</si>
  <si>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</si>
  <si>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</si>
  <si>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</si>
  <si>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</si>
  <si>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</si>
  <si>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</si>
  <si>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</si>
  <si>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</si>
  <si>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</si>
  <si>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</si>
  <si>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</si>
  <si>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</si>
  <si>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</si>
  <si>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</si>
  <si>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</si>
  <si>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</si>
  <si>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</si>
  <si>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</si>
  <si>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</si>
  <si>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</si>
  <si>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</si>
  <si>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</si>
  <si>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</si>
  <si>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</si>
  <si>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</si>
  <si>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</si>
  <si>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</si>
  <si>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</si>
  <si>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</si>
  <si>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</si>
  <si>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</si>
  <si>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</si>
  <si>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</si>
  <si>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</si>
  <si>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</si>
  <si>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</si>
  <si>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</si>
  <si>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</si>
  <si>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</si>
  <si>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</si>
  <si>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</si>
  <si>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</si>
  <si>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</si>
  <si>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</si>
  <si>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</si>
  <si>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</si>
  <si>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</si>
  <si>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</si>
  <si>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</si>
  <si>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</si>
  <si>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</si>
  <si>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</si>
  <si>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</si>
  <si>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</si>
  <si>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</si>
  <si>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</si>
  <si>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</si>
  <si>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</si>
  <si>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</si>
  <si>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</si>
  <si>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</si>
  <si>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</si>
  <si>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</si>
  <si>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</si>
  <si>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</si>
  <si>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</si>
  <si>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</si>
  <si>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</si>
  <si>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</si>
  <si>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</si>
  <si>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</si>
  <si>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</si>
  <si>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</si>
  <si>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</si>
  <si>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</si>
  <si>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</si>
  <si>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</si>
  <si>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</si>
  <si>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</si>
  <si>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</si>
  <si>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</si>
  <si>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</si>
  <si>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</si>
  <si>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</si>
  <si>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</si>
  <si>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</si>
  <si>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</si>
  <si>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</si>
  <si>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</si>
  <si>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</si>
  <si>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</si>
  <si>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</si>
  <si>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</si>
  <si>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</si>
  <si>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</si>
  <si>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</si>
  <si>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</si>
  <si>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</si>
  <si>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</si>
  <si>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</si>
  <si>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</si>
  <si>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</si>
  <si>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</si>
  <si>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</si>
  <si>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</si>
  <si>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</si>
  <si>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</si>
  <si>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</si>
  <si>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</si>
  <si>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</si>
  <si>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</si>
  <si>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</si>
  <si>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</si>
  <si>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</si>
  <si>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</si>
  <si>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</si>
  <si>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</si>
  <si>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</si>
  <si>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</si>
  <si>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</si>
  <si>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</si>
  <si>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</si>
  <si>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</si>
  <si>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</si>
  <si>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</si>
  <si>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</si>
  <si>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</si>
  <si>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</si>
  <si>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</si>
  <si>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</si>
  <si>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</si>
  <si>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</si>
  <si>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</si>
  <si>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</si>
  <si>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</si>
  <si>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</si>
  <si>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</si>
  <si>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</si>
  <si>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</si>
  <si>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</si>
  <si>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</si>
  <si>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</si>
  <si>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</si>
  <si>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</si>
  <si>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</si>
  <si>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</si>
  <si>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</si>
  <si>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</si>
  <si>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</si>
  <si>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</si>
  <si>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</si>
  <si>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</si>
  <si>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</si>
  <si>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</si>
  <si>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</si>
  <si>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</si>
  <si>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</si>
  <si>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</si>
  <si>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</si>
  <si>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</si>
  <si>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</si>
  <si>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</si>
  <si>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</si>
  <si>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</si>
  <si>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</si>
  <si>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</si>
  <si>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</si>
  <si>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</si>
  <si>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</si>
  <si>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</si>
  <si>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</si>
  <si>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</si>
  <si>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</si>
  <si>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</si>
  <si>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</si>
  <si>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</si>
  <si>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</si>
  <si>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</si>
  <si>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</si>
  <si>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</si>
  <si>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</si>
  <si>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</si>
  <si>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</si>
  <si>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</si>
  <si>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</si>
  <si>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</si>
  <si>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</si>
  <si>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</si>
  <si>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</si>
  <si>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</si>
  <si>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</si>
  <si>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</si>
  <si>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</si>
  <si>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</si>
  <si>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</si>
  <si>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</si>
  <si>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</si>
  <si>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</si>
  <si>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</si>
  <si>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</si>
  <si>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</si>
  <si>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</si>
  <si>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</si>
  <si>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</si>
  <si>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</si>
  <si>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</si>
  <si>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</si>
  <si>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</si>
  <si>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</si>
  <si>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</si>
  <si>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</si>
  <si>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</si>
  <si>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</si>
  <si>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</si>
  <si>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</si>
  <si>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</si>
  <si>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</si>
  <si>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</si>
  <si>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</si>
  <si>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</si>
  <si>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</si>
  <si>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</si>
  <si>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</si>
  <si>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</si>
  <si>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</si>
  <si>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</si>
  <si>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</si>
  <si>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</si>
  <si>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</si>
  <si>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</si>
  <si>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</si>
  <si>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</si>
  <si>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</si>
  <si>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</si>
  <si>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</si>
  <si>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</si>
  <si>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</si>
  <si>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</si>
  <si>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</si>
  <si>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</si>
  <si>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</si>
  <si>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</si>
  <si>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</si>
  <si>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</si>
  <si>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</si>
  <si>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</si>
  <si>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</si>
  <si>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</si>
  <si>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</si>
  <si>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</si>
  <si>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</si>
  <si>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</si>
  <si>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</si>
  <si>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</si>
  <si>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</si>
  <si>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</si>
  <si>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</si>
  <si>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</si>
  <si>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</si>
  <si>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</si>
  <si>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</si>
  <si>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</si>
  <si>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</si>
  <si>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</si>
  <si>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</si>
  <si>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</si>
  <si>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</si>
  <si>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</si>
  <si>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</si>
  <si>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</si>
  <si>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</si>
  <si>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</si>
  <si>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</si>
  <si>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</si>
  <si>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</si>
  <si>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</si>
  <si>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</si>
  <si>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</si>
  <si>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</si>
  <si>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</si>
  <si>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</si>
  <si>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</si>
  <si>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</si>
  <si>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</si>
  <si>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</si>
  <si>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</si>
  <si>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</si>
  <si>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</si>
  <si>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</si>
  <si>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</si>
  <si>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</si>
  <si>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</si>
  <si>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</si>
  <si>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</si>
  <si>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</si>
  <si>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</si>
  <si>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</si>
  <si>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</si>
  <si>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</si>
  <si>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</si>
  <si>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</si>
  <si>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</si>
  <si>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</si>
  <si>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</si>
  <si>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</si>
  <si>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</si>
  <si>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</si>
  <si>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</si>
  <si>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</si>
  <si>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</si>
  <si>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</si>
  <si>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</si>
  <si>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</si>
  <si>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</si>
  <si>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</si>
  <si>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</si>
  <si>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</si>
  <si>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</si>
  <si>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</si>
  <si>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</si>
  <si>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</si>
  <si>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</si>
  <si>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</si>
  <si>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</si>
  <si>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</si>
  <si>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</si>
  <si>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</si>
  <si>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</si>
  <si>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</si>
  <si>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</si>
  <si>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</si>
  <si>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</si>
  <si>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</si>
  <si>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</si>
  <si>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</si>
  <si>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</si>
  <si>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</si>
  <si>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</si>
  <si>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</si>
  <si>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</si>
  <si>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</si>
  <si>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</si>
  <si>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</si>
  <si>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</si>
  <si>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</si>
  <si>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</si>
  <si>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</si>
  <si>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</si>
  <si>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</si>
  <si>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</si>
  <si>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</si>
  <si>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</si>
  <si>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</si>
  <si>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</si>
  <si>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</si>
  <si>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</si>
  <si>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</si>
  <si>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</si>
  <si>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</si>
  <si>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</si>
  <si>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</si>
  <si>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</si>
  <si>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</si>
  <si>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</si>
  <si>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</si>
  <si>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</si>
  <si>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</si>
  <si>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</si>
  <si>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</si>
  <si>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</si>
  <si>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</si>
  <si>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</si>
  <si>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</si>
  <si>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</si>
  <si>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</si>
  <si>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</si>
  <si>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</si>
  <si>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</si>
  <si>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</si>
  <si>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</si>
  <si>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</si>
  <si>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</si>
  <si>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</si>
  <si>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</si>
  <si>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</si>
  <si>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</si>
  <si>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</si>
  <si>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</si>
  <si>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</si>
  <si>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</si>
  <si>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</si>
  <si>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</si>
  <si>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</si>
  <si>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</si>
  <si>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</si>
  <si>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</si>
  <si>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</si>
  <si>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</si>
  <si>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</si>
  <si>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</si>
  <si>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</si>
  <si>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</si>
  <si>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</si>
  <si>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</si>
  <si>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</si>
  <si>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</si>
  <si>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</si>
  <si>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</si>
  <si>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</si>
  <si>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</si>
  <si>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</si>
  <si>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</si>
  <si>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</si>
  <si>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</si>
  <si>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</si>
  <si>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</si>
  <si>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</si>
  <si>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</si>
  <si>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</si>
  <si>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</si>
  <si>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</si>
  <si>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</si>
  <si>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</si>
  <si>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</si>
  <si>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</si>
  <si>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</si>
  <si>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</si>
  <si>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</si>
  <si>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</si>
  <si>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</si>
  <si>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</si>
  <si>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</si>
  <si>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</si>
  <si>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</si>
  <si>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</si>
  <si>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</si>
  <si>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</si>
  <si>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</si>
  <si>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</si>
  <si>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</si>
  <si>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</si>
  <si>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</si>
  <si>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</si>
  <si>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</si>
  <si>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</si>
  <si>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</si>
  <si>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</si>
  <si>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</si>
  <si>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</si>
  <si>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</si>
  <si>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</si>
  <si>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</si>
  <si>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</si>
  <si>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</si>
  <si>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</si>
  <si>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</si>
  <si>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</si>
  <si>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</si>
  <si>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</si>
  <si>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</si>
  <si>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</si>
  <si>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</si>
  <si>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</si>
  <si>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</si>
  <si>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</si>
  <si>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</si>
  <si>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</si>
  <si>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</si>
  <si>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</si>
  <si>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</si>
  <si>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</si>
  <si>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</si>
  <si>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</si>
  <si>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</si>
  <si>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</si>
  <si>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</si>
  <si>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</si>
  <si>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</si>
  <si>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</si>
  <si>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</si>
  <si>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</si>
  <si>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</si>
  <si>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</si>
  <si>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</si>
  <si>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</si>
  <si>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</si>
  <si>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</si>
  <si>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</si>
  <si>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</si>
  <si>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Мытье кабины лифта</t>
  </si>
  <si>
    <t>1.8.</t>
  </si>
  <si>
    <t>5.7.</t>
  </si>
  <si>
    <t>Содержание и обслуживание лифта</t>
  </si>
  <si>
    <t>а) Подметание территорий в дни без осадков на территориях 1 кл.</t>
  </si>
  <si>
    <t>Сводная таблица "Содержание жилого дома по  видам работ" по ул. Привольная, 8</t>
  </si>
  <si>
    <t>Стоимость затрат на содержание  внутридомового инженерного оборудования и конструктивных элементов по ул. Привольная,8</t>
  </si>
  <si>
    <t>Затраты на спецодежду, инвентарь (прик 191, нормы по спецодежде) ж.д. № 8 по ул. Привольная</t>
  </si>
  <si>
    <t>Санитарное содержание жилых зданий и придомовой территории ж.д.№8 по ул. Привольная</t>
  </si>
  <si>
    <t>Исходные данные  дома по  ул. Привольная, 8</t>
  </si>
  <si>
    <t>4,5 под.8622, 1,2,3 под. 9 эт. - 16126</t>
  </si>
  <si>
    <t>49490 квт?</t>
  </si>
  <si>
    <t>завыш на 200 м</t>
  </si>
  <si>
    <t>з/п</t>
  </si>
  <si>
    <t>есн</t>
  </si>
  <si>
    <t>мат</t>
  </si>
  <si>
    <t>Проверка дымоходов и вентканалов</t>
  </si>
  <si>
    <t xml:space="preserve">Перечень работ и услуг по содержанию и текущему ремонту общего имущества многоквартирного дома по адресу: ул. Привольная, 8 </t>
  </si>
  <si>
    <t>с 01.07.14г.-13,76</t>
  </si>
  <si>
    <t>без ОДН -12,63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</si>
</sst>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4" fontId="31" fillId="0" borderId="22" xfId="0" applyNumberFormat="1" applyFont="1" applyBorder="1" applyAlignment="1">
      <alignment horizontal="center" vertical="top" wrapText="1"/>
    </xf>
    <xf numFmtId="166" fontId="31" fillId="0" borderId="79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166" fontId="2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15" t="s">
        <v>763</v>
      </c>
      <c r="C1" s="915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151</v>
      </c>
      <c r="D3" s="537" t="s">
        <v>480</v>
      </c>
      <c r="E3"/>
      <c r="F3"/>
      <c r="G3"/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260</v>
      </c>
      <c r="C5" s="539" t="s">
        <v>169</v>
      </c>
      <c r="D5" s="540">
        <v>178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180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285</v>
      </c>
      <c r="D7" s="454">
        <v>533</v>
      </c>
      <c r="E7"/>
      <c r="F7"/>
      <c r="G7"/>
    </row>
    <row r="8" spans="1:7" s="4" customFormat="1" ht="27.75" customHeight="1" thickBot="1">
      <c r="A8" s="347" t="s">
        <v>73</v>
      </c>
      <c r="B8" s="309" t="s">
        <v>408</v>
      </c>
      <c r="C8" s="315" t="s">
        <v>273</v>
      </c>
      <c r="D8" s="779">
        <f>D9+D10+D11</f>
        <v>10235.400000000001</v>
      </c>
      <c r="E8" s="5"/>
      <c r="F8" s="5"/>
      <c r="G8" s="5"/>
    </row>
    <row r="9" spans="1:7" s="350" customFormat="1" ht="15" customHeight="1">
      <c r="A9" s="124" t="s">
        <v>74</v>
      </c>
      <c r="B9" s="348" t="s">
        <v>64</v>
      </c>
      <c r="C9" s="349" t="s">
        <v>273</v>
      </c>
      <c r="D9" s="557">
        <v>705.7</v>
      </c>
      <c r="E9" s="115"/>
      <c r="F9" s="115"/>
      <c r="G9" t="s">
        <v>766</v>
      </c>
    </row>
    <row r="10" spans="1:7" s="350" customFormat="1" ht="15" customHeight="1" thickBot="1">
      <c r="A10" s="429" t="s">
        <v>75</v>
      </c>
      <c r="B10" s="428" t="s">
        <v>407</v>
      </c>
      <c r="C10" s="349" t="s">
        <v>273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409</v>
      </c>
      <c r="C11" s="310" t="s">
        <v>273</v>
      </c>
      <c r="D11" s="308">
        <f>D12*1</f>
        <v>9529.7</v>
      </c>
      <c r="E11"/>
      <c r="F11"/>
      <c r="G11"/>
    </row>
    <row r="12" spans="1:7" s="1" customFormat="1" ht="15" customHeight="1">
      <c r="A12" s="124"/>
      <c r="B12" s="123" t="s">
        <v>363</v>
      </c>
      <c r="C12" s="18" t="s">
        <v>273</v>
      </c>
      <c r="D12" s="351">
        <v>9529.7</v>
      </c>
      <c r="E12"/>
      <c r="F12"/>
      <c r="G12"/>
    </row>
    <row r="13" spans="1:7" s="1" customFormat="1" ht="15" customHeight="1">
      <c r="A13" s="124"/>
      <c r="B13" s="123" t="s">
        <v>364</v>
      </c>
      <c r="C13" s="18" t="s">
        <v>273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273</v>
      </c>
      <c r="D14" s="351">
        <v>1321.2</v>
      </c>
      <c r="E14"/>
      <c r="F14"/>
      <c r="G14"/>
    </row>
    <row r="15" spans="1:7" s="1" customFormat="1" ht="15" customHeight="1">
      <c r="A15" s="121" t="s">
        <v>78</v>
      </c>
      <c r="B15" s="8" t="s">
        <v>265</v>
      </c>
      <c r="C15" s="7" t="s">
        <v>273</v>
      </c>
      <c r="D15" s="344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264</v>
      </c>
      <c r="C16" s="7" t="s">
        <v>273</v>
      </c>
      <c r="D16" s="344">
        <v>1059.2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273</v>
      </c>
      <c r="D17" s="344">
        <v>1321.2</v>
      </c>
      <c r="E17"/>
      <c r="F17"/>
      <c r="G17"/>
    </row>
    <row r="18" spans="1:7" s="1" customFormat="1" ht="15" customHeight="1">
      <c r="A18" s="121" t="s">
        <v>81</v>
      </c>
      <c r="B18" s="8" t="s">
        <v>488</v>
      </c>
      <c r="C18" s="7" t="s">
        <v>489</v>
      </c>
      <c r="D18" s="344">
        <v>37835</v>
      </c>
      <c r="E18"/>
      <c r="F18"/>
      <c r="G18"/>
    </row>
    <row r="19" spans="1:7" s="1" customFormat="1" ht="15" customHeight="1">
      <c r="A19" s="121" t="s">
        <v>155</v>
      </c>
      <c r="B19" s="8" t="s">
        <v>316</v>
      </c>
      <c r="C19" s="7" t="s">
        <v>317</v>
      </c>
      <c r="D19" s="344">
        <v>140</v>
      </c>
      <c r="E19"/>
      <c r="F19"/>
      <c r="G19"/>
    </row>
    <row r="20" spans="1:7" s="1" customFormat="1" ht="15" customHeight="1">
      <c r="A20" s="121" t="s">
        <v>82</v>
      </c>
      <c r="B20" s="8" t="s">
        <v>319</v>
      </c>
      <c r="C20" s="7" t="s">
        <v>318</v>
      </c>
      <c r="D20" s="344">
        <v>1476</v>
      </c>
      <c r="E20" s="794"/>
      <c r="F20"/>
      <c r="G20"/>
    </row>
    <row r="21" spans="1:7" s="1" customFormat="1" ht="27.75" customHeight="1">
      <c r="A21" s="121" t="s">
        <v>156</v>
      </c>
      <c r="B21" s="8" t="s">
        <v>320</v>
      </c>
      <c r="C21" s="7" t="s">
        <v>318</v>
      </c>
      <c r="D21" s="344">
        <v>60</v>
      </c>
      <c r="E21"/>
      <c r="F21"/>
      <c r="G21"/>
    </row>
    <row r="22" spans="1:7" s="1" customFormat="1" ht="15" customHeight="1">
      <c r="A22" s="121" t="s">
        <v>157</v>
      </c>
      <c r="B22" s="8" t="s">
        <v>321</v>
      </c>
      <c r="C22" s="7" t="s">
        <v>318</v>
      </c>
      <c r="D22" s="898">
        <v>192</v>
      </c>
      <c r="E22"/>
      <c r="F22"/>
      <c r="G22"/>
    </row>
    <row r="23" spans="1:7" s="1" customFormat="1" ht="15" customHeight="1">
      <c r="A23" s="121" t="s">
        <v>158</v>
      </c>
      <c r="B23" s="8" t="s">
        <v>324</v>
      </c>
      <c r="C23" s="7" t="s">
        <v>318</v>
      </c>
      <c r="D23" s="344">
        <v>4068</v>
      </c>
      <c r="E23"/>
      <c r="F23"/>
      <c r="G23"/>
    </row>
    <row r="24" spans="1:7" s="1" customFormat="1" ht="27.75" customHeight="1">
      <c r="A24" s="121" t="s">
        <v>89</v>
      </c>
      <c r="B24" s="8" t="s">
        <v>325</v>
      </c>
      <c r="C24" s="7" t="s">
        <v>169</v>
      </c>
      <c r="D24" s="344">
        <v>5</v>
      </c>
      <c r="E24"/>
      <c r="F24"/>
      <c r="G24"/>
    </row>
    <row r="25" spans="1:7" s="1" customFormat="1" ht="15" customHeight="1">
      <c r="A25" s="121" t="s">
        <v>90</v>
      </c>
      <c r="B25" s="8" t="s">
        <v>326</v>
      </c>
      <c r="C25" s="7" t="s">
        <v>169</v>
      </c>
      <c r="D25" s="344">
        <v>22</v>
      </c>
      <c r="E25"/>
      <c r="F25"/>
      <c r="G25"/>
    </row>
    <row r="26" spans="1:7" s="1" customFormat="1" ht="15" customHeight="1">
      <c r="A26" s="121" t="s">
        <v>91</v>
      </c>
      <c r="B26" s="8" t="s">
        <v>322</v>
      </c>
      <c r="C26" s="7" t="s">
        <v>323</v>
      </c>
      <c r="D26" s="344">
        <v>1130</v>
      </c>
      <c r="E26"/>
      <c r="F26"/>
      <c r="G26"/>
    </row>
    <row r="27" spans="1:7" s="1" customFormat="1" ht="15" customHeight="1">
      <c r="A27" s="121" t="s">
        <v>92</v>
      </c>
      <c r="B27" s="8" t="s">
        <v>327</v>
      </c>
      <c r="C27" s="7" t="s">
        <v>323</v>
      </c>
      <c r="D27" s="344">
        <v>54</v>
      </c>
      <c r="E27"/>
      <c r="F27"/>
      <c r="G27"/>
    </row>
    <row r="28" spans="1:7" s="1" customFormat="1" ht="15" customHeight="1">
      <c r="A28" s="121" t="s">
        <v>93</v>
      </c>
      <c r="B28" s="8" t="s">
        <v>328</v>
      </c>
      <c r="C28" s="7" t="s">
        <v>323</v>
      </c>
      <c r="D28" s="344">
        <v>2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356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0</v>
      </c>
      <c r="E30"/>
      <c r="F30"/>
      <c r="G30"/>
    </row>
    <row r="31" spans="1:10" s="1" customFormat="1" ht="27" customHeight="1">
      <c r="A31" s="121" t="s">
        <v>96</v>
      </c>
      <c r="B31" s="8" t="s">
        <v>305</v>
      </c>
      <c r="C31" s="7" t="s">
        <v>284</v>
      </c>
      <c r="D31" s="850">
        <v>36960</v>
      </c>
      <c r="E31"/>
      <c r="F31" t="s">
        <v>764</v>
      </c>
      <c r="G31" s="901"/>
      <c r="H31" s="901"/>
      <c r="I31" s="901"/>
      <c r="J31" s="901"/>
    </row>
    <row r="32" spans="1:7" s="1" customFormat="1" ht="27" customHeight="1">
      <c r="A32" s="121" t="s">
        <v>159</v>
      </c>
      <c r="B32" s="8" t="s">
        <v>417</v>
      </c>
      <c r="C32" s="7" t="s">
        <v>284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261</v>
      </c>
      <c r="C33" s="7" t="s">
        <v>169</v>
      </c>
      <c r="D33" s="344">
        <v>5</v>
      </c>
      <c r="E33"/>
      <c r="F33"/>
      <c r="G33"/>
    </row>
    <row r="34" spans="1:7" s="1" customFormat="1" ht="15" customHeight="1">
      <c r="A34" s="121" t="s">
        <v>309</v>
      </c>
      <c r="B34" s="8" t="s">
        <v>262</v>
      </c>
      <c r="C34" s="7" t="s">
        <v>169</v>
      </c>
      <c r="D34" s="344">
        <v>9</v>
      </c>
      <c r="E34"/>
      <c r="F34"/>
      <c r="G34"/>
    </row>
    <row r="35" spans="1:7" s="1" customFormat="1" ht="15" customHeight="1">
      <c r="A35" s="121" t="s">
        <v>310</v>
      </c>
      <c r="B35" s="8" t="s">
        <v>411</v>
      </c>
      <c r="C35" s="7" t="s">
        <v>273</v>
      </c>
      <c r="D35" s="899">
        <v>1558</v>
      </c>
      <c r="E35"/>
      <c r="F35"/>
      <c r="G35"/>
    </row>
    <row r="36" spans="1:7" s="1" customFormat="1" ht="15" customHeight="1">
      <c r="A36" s="121" t="s">
        <v>161</v>
      </c>
      <c r="B36" s="8" t="s">
        <v>412</v>
      </c>
      <c r="C36" s="7" t="s">
        <v>273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413</v>
      </c>
      <c r="C37" s="7" t="s">
        <v>273</v>
      </c>
      <c r="D37" s="344"/>
      <c r="E37"/>
      <c r="F37"/>
      <c r="G37"/>
    </row>
    <row r="38" spans="1:9" s="1" customFormat="1" ht="15" customHeight="1">
      <c r="A38" s="121" t="s">
        <v>98</v>
      </c>
      <c r="B38" s="8" t="s">
        <v>414</v>
      </c>
      <c r="C38" s="7" t="s">
        <v>273</v>
      </c>
      <c r="D38" s="344">
        <v>1436</v>
      </c>
      <c r="E38"/>
      <c r="F38"/>
      <c r="G38" s="917"/>
      <c r="H38" s="917"/>
      <c r="I38" s="917"/>
    </row>
    <row r="39" spans="1:9" s="1" customFormat="1" ht="15" customHeight="1">
      <c r="A39" s="121" t="s">
        <v>99</v>
      </c>
      <c r="B39" s="8" t="s">
        <v>415</v>
      </c>
      <c r="C39" s="7" t="s">
        <v>273</v>
      </c>
      <c r="D39" s="344"/>
      <c r="E39"/>
      <c r="F39"/>
      <c r="G39"/>
      <c r="H39" s="916"/>
      <c r="I39" s="916"/>
    </row>
    <row r="40" spans="1:7" s="1" customFormat="1" ht="15" customHeight="1">
      <c r="A40" s="121" t="s">
        <v>100</v>
      </c>
      <c r="B40" s="8" t="s">
        <v>416</v>
      </c>
      <c r="C40" s="7" t="s">
        <v>273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410</v>
      </c>
      <c r="C41" s="7" t="s">
        <v>273</v>
      </c>
      <c r="D41" s="344">
        <v>1957</v>
      </c>
      <c r="E41"/>
      <c r="F41"/>
      <c r="G41"/>
    </row>
    <row r="42" spans="1:7" s="1" customFormat="1" ht="15" customHeight="1">
      <c r="A42" s="121" t="s">
        <v>102</v>
      </c>
      <c r="B42" s="9" t="s">
        <v>329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330</v>
      </c>
      <c r="C43" s="7" t="s">
        <v>273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331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311</v>
      </c>
      <c r="B45" s="8" t="s">
        <v>329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332</v>
      </c>
      <c r="C46" s="7" t="s">
        <v>335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333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490</v>
      </c>
      <c r="B48" s="456" t="s">
        <v>334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3">
    <mergeCell ref="B1:C1"/>
    <mergeCell ref="H39:I39"/>
    <mergeCell ref="G38:I38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O31" sqref="O31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24" t="s">
        <v>762</v>
      </c>
      <c r="B1" s="924"/>
      <c r="C1" s="924"/>
      <c r="D1" s="924"/>
      <c r="E1" s="924"/>
      <c r="F1" s="924"/>
      <c r="G1" s="924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434</v>
      </c>
      <c r="M2" s="26" t="s">
        <v>56</v>
      </c>
    </row>
    <row r="3" spans="1:13" ht="29.25" customHeight="1">
      <c r="A3" s="925" t="s">
        <v>0</v>
      </c>
      <c r="B3" s="927" t="s">
        <v>109</v>
      </c>
      <c r="C3" s="918" t="s">
        <v>433</v>
      </c>
      <c r="D3" s="918"/>
      <c r="E3" s="918"/>
      <c r="F3" s="918"/>
      <c r="G3" s="919"/>
      <c r="H3" s="920" t="s">
        <v>163</v>
      </c>
      <c r="I3" s="921"/>
      <c r="J3" s="921"/>
      <c r="K3" s="921"/>
      <c r="L3" s="922"/>
      <c r="M3" s="107"/>
    </row>
    <row r="4" spans="1:16" s="2" customFormat="1" ht="51">
      <c r="A4" s="926"/>
      <c r="B4" s="928"/>
      <c r="C4" s="7" t="s">
        <v>4</v>
      </c>
      <c r="D4" s="7" t="s">
        <v>479</v>
      </c>
      <c r="E4" s="7" t="s">
        <v>303</v>
      </c>
      <c r="F4" s="7" t="s">
        <v>292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751</v>
      </c>
    </row>
    <row r="5" spans="1:14" s="2" customFormat="1" ht="15" customHeight="1" thickBot="1">
      <c r="A5" s="547"/>
      <c r="B5" s="457"/>
      <c r="C5" s="457"/>
      <c r="D5" s="457" t="s">
        <v>273</v>
      </c>
      <c r="E5" s="457" t="s">
        <v>273</v>
      </c>
      <c r="F5" s="457" t="s">
        <v>290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273</v>
      </c>
      <c r="C7" s="722"/>
      <c r="D7" s="723">
        <f>'Исход дан'!D11</f>
        <v>9529.7</v>
      </c>
      <c r="E7" s="724"/>
      <c r="F7" s="724"/>
      <c r="G7" s="489"/>
      <c r="H7" s="237"/>
      <c r="I7" s="9">
        <f>D7</f>
        <v>9529.7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3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427</v>
      </c>
      <c r="B9" s="17" t="s">
        <v>273</v>
      </c>
      <c r="C9" s="478" t="s">
        <v>293</v>
      </c>
      <c r="D9" s="559">
        <f>'Исход дан'!D9</f>
        <v>705.7</v>
      </c>
      <c r="E9" s="221">
        <v>950</v>
      </c>
      <c r="F9" s="685">
        <f>D9/E9</f>
        <v>0.742842105263158</v>
      </c>
      <c r="G9" s="703"/>
      <c r="H9" s="264"/>
      <c r="I9" s="7">
        <f>D9</f>
        <v>705.7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378</v>
      </c>
      <c r="B10" s="460"/>
      <c r="C10" s="493" t="s">
        <v>293</v>
      </c>
      <c r="D10" s="250" t="s">
        <v>293</v>
      </c>
      <c r="E10" s="250" t="s">
        <v>293</v>
      </c>
      <c r="F10" s="449">
        <v>1.12</v>
      </c>
      <c r="G10" s="704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425</v>
      </c>
      <c r="B11" s="461" t="s">
        <v>290</v>
      </c>
      <c r="C11" s="725"/>
      <c r="D11" s="726"/>
      <c r="E11" s="726"/>
      <c r="F11" s="727">
        <f>F9*F10</f>
        <v>0.831983157894737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380</v>
      </c>
      <c r="B12" s="112" t="s">
        <v>294</v>
      </c>
      <c r="C12" s="792">
        <f>3500*1.25*1.06*1.06</f>
        <v>4915.75</v>
      </c>
      <c r="D12" s="494" t="s">
        <v>293</v>
      </c>
      <c r="E12" s="494" t="s">
        <v>293</v>
      </c>
      <c r="F12" s="684">
        <f>F11</f>
        <v>0.831983157894737</v>
      </c>
      <c r="G12" s="705">
        <f>C12*F12*12</f>
        <v>49077.854501052636</v>
      </c>
      <c r="H12" s="264">
        <f>C12</f>
        <v>4915.75</v>
      </c>
      <c r="I12" s="86">
        <f>I9</f>
        <v>705.7</v>
      </c>
      <c r="J12" s="7">
        <v>377.66</v>
      </c>
      <c r="K12" s="82">
        <f>I12*J12/100</f>
        <v>2665.14662</v>
      </c>
      <c r="L12" s="99">
        <f>K12*12</f>
        <v>31981.75944</v>
      </c>
      <c r="M12" s="109">
        <f aca="true" t="shared" si="0" ref="M12:M19">G12-L12</f>
        <v>17096.095061052634</v>
      </c>
      <c r="N12" s="923"/>
      <c r="O12" s="917"/>
      <c r="P12" s="917"/>
    </row>
    <row r="13" spans="1:14" s="1" customFormat="1" ht="15" customHeight="1">
      <c r="A13" s="88" t="s">
        <v>5</v>
      </c>
      <c r="B13" s="17" t="s">
        <v>196</v>
      </c>
      <c r="C13" s="728">
        <v>0.14</v>
      </c>
      <c r="D13" s="221" t="s">
        <v>293</v>
      </c>
      <c r="E13" s="221" t="s">
        <v>293</v>
      </c>
      <c r="F13" s="221" t="s">
        <v>293</v>
      </c>
      <c r="G13" s="706">
        <f>G12*14/100</f>
        <v>6870.899630147369</v>
      </c>
      <c r="H13" s="265">
        <f>C13</f>
        <v>0.14</v>
      </c>
      <c r="I13" s="7"/>
      <c r="J13" s="7">
        <v>188.83</v>
      </c>
      <c r="K13" s="82">
        <f>I12*J13/100</f>
        <v>1332.57331</v>
      </c>
      <c r="L13" s="99">
        <f>K13*12</f>
        <v>15990.87972</v>
      </c>
      <c r="M13" s="109">
        <f t="shared" si="0"/>
        <v>-9119.980089852632</v>
      </c>
      <c r="N13"/>
    </row>
    <row r="14" spans="1:16" s="4" customFormat="1" ht="15" customHeight="1">
      <c r="A14" s="377" t="s">
        <v>10</v>
      </c>
      <c r="B14" s="468" t="s">
        <v>432</v>
      </c>
      <c r="C14" s="479" t="s">
        <v>293</v>
      </c>
      <c r="D14" s="477" t="s">
        <v>293</v>
      </c>
      <c r="E14" s="477" t="s">
        <v>293</v>
      </c>
      <c r="F14" s="477" t="s">
        <v>293</v>
      </c>
      <c r="G14" s="491">
        <f>G12+G13</f>
        <v>55948.7541312</v>
      </c>
      <c r="H14" s="237"/>
      <c r="I14" s="9"/>
      <c r="J14" s="9">
        <f>J12+J13</f>
        <v>566.49</v>
      </c>
      <c r="K14" s="87">
        <f>SUM(K12:K13)</f>
        <v>3997.71993</v>
      </c>
      <c r="L14" s="100">
        <f>SUM(L12:L13)</f>
        <v>47972.639160000006</v>
      </c>
      <c r="M14" s="109">
        <f t="shared" si="0"/>
        <v>7976.114971199997</v>
      </c>
      <c r="N14" s="902">
        <f>G14/12/9533.4</f>
        <v>0.4890591161180692</v>
      </c>
      <c r="O14" s="4" t="s">
        <v>767</v>
      </c>
      <c r="P14" s="907">
        <f>N14+N36</f>
        <v>1.250593808988604</v>
      </c>
    </row>
    <row r="15" spans="1:16" s="253" customFormat="1" ht="15" customHeight="1">
      <c r="A15" s="89" t="s">
        <v>12</v>
      </c>
      <c r="B15" s="462" t="s">
        <v>196</v>
      </c>
      <c r="C15" s="729">
        <v>0.202</v>
      </c>
      <c r="D15" s="221" t="s">
        <v>293</v>
      </c>
      <c r="E15" s="221" t="s">
        <v>293</v>
      </c>
      <c r="F15" s="221" t="s">
        <v>293</v>
      </c>
      <c r="G15" s="706">
        <f>G14*C15</f>
        <v>11301.6483345024</v>
      </c>
      <c r="H15" s="321">
        <v>0.262</v>
      </c>
      <c r="I15" s="153"/>
      <c r="J15" s="153">
        <v>148.42</v>
      </c>
      <c r="K15" s="320">
        <f>I12*J15/100</f>
        <v>1047.39994</v>
      </c>
      <c r="L15" s="322">
        <f>K15*12</f>
        <v>12568.79928</v>
      </c>
      <c r="M15" s="323">
        <f t="shared" si="0"/>
        <v>-1267.1509454975985</v>
      </c>
      <c r="N15" s="903">
        <f>G15/12/9533.4</f>
        <v>0.09878994145584997</v>
      </c>
      <c r="O15" s="1" t="s">
        <v>768</v>
      </c>
      <c r="P15" s="908">
        <f>N37+N15</f>
        <v>0.25261994941569804</v>
      </c>
    </row>
    <row r="16" spans="1:16" s="253" customFormat="1" ht="15" customHeight="1">
      <c r="A16" s="89" t="s">
        <v>6</v>
      </c>
      <c r="B16" s="439" t="s">
        <v>302</v>
      </c>
      <c r="C16" s="730">
        <f>'спец инв'!H13</f>
        <v>561.3232</v>
      </c>
      <c r="D16" s="221" t="s">
        <v>293</v>
      </c>
      <c r="E16" s="221" t="s">
        <v>293</v>
      </c>
      <c r="F16" s="702">
        <f>F11</f>
        <v>0.831983157894737</v>
      </c>
      <c r="G16" s="520">
        <f>C16*F16</f>
        <v>467.01144853557906</v>
      </c>
      <c r="H16" s="245">
        <v>14.51</v>
      </c>
      <c r="I16" s="153"/>
      <c r="J16" s="153">
        <v>2.63</v>
      </c>
      <c r="K16" s="324">
        <f>J16*I12/100</f>
        <v>18.55991</v>
      </c>
      <c r="L16" s="322">
        <f>K16*12</f>
        <v>222.71891999999997</v>
      </c>
      <c r="M16" s="323">
        <f t="shared" si="0"/>
        <v>244.2925285355791</v>
      </c>
      <c r="N16" s="903">
        <f>SUM(G16:G18)/12/9533.4</f>
        <v>0.03222378457151754</v>
      </c>
      <c r="O16" s="1" t="s">
        <v>769</v>
      </c>
      <c r="P16" s="908">
        <f>N16+N38</f>
        <v>0.12513696115345146</v>
      </c>
    </row>
    <row r="17" spans="1:14" s="253" customFormat="1" ht="15" customHeight="1">
      <c r="A17" s="89" t="s">
        <v>291</v>
      </c>
      <c r="B17" s="439" t="s">
        <v>302</v>
      </c>
      <c r="C17" s="730">
        <f>'спец инв'!H43</f>
        <v>2251.175</v>
      </c>
      <c r="D17" s="221" t="s">
        <v>293</v>
      </c>
      <c r="E17" s="221" t="s">
        <v>293</v>
      </c>
      <c r="F17" s="702">
        <f>F11</f>
        <v>0.831983157894737</v>
      </c>
      <c r="G17" s="520">
        <f>C17*F17</f>
        <v>1872.9396854736847</v>
      </c>
      <c r="H17" s="245">
        <v>21.86</v>
      </c>
      <c r="I17" s="153"/>
      <c r="J17" s="153">
        <v>6.59</v>
      </c>
      <c r="K17" s="324">
        <f>I12*J17/100</f>
        <v>46.505630000000004</v>
      </c>
      <c r="L17" s="322">
        <f>K17*12</f>
        <v>558.0675600000001</v>
      </c>
      <c r="M17" s="323">
        <f t="shared" si="0"/>
        <v>1314.8721254736847</v>
      </c>
      <c r="N17" s="31"/>
    </row>
    <row r="18" spans="1:14" s="253" customFormat="1" ht="15" customHeight="1" thickBot="1">
      <c r="A18" s="368" t="s">
        <v>289</v>
      </c>
      <c r="B18" s="463" t="s">
        <v>295</v>
      </c>
      <c r="C18" s="730">
        <f>'спец инв'!H44</f>
        <v>1.9080000000000001</v>
      </c>
      <c r="D18" s="250">
        <f>D9</f>
        <v>705.7</v>
      </c>
      <c r="E18" s="250" t="s">
        <v>293</v>
      </c>
      <c r="F18" s="449" t="s">
        <v>293</v>
      </c>
      <c r="G18" s="707">
        <f>C18*D18</f>
        <v>1346.4756000000002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379</v>
      </c>
      <c r="B19" s="464"/>
      <c r="C19" s="480" t="s">
        <v>293</v>
      </c>
      <c r="D19" s="487" t="s">
        <v>293</v>
      </c>
      <c r="E19" s="487" t="s">
        <v>293</v>
      </c>
      <c r="F19" s="487" t="s">
        <v>293</v>
      </c>
      <c r="G19" s="708">
        <f>G14+G15+G16+G17+G18</f>
        <v>70936.82919971166</v>
      </c>
      <c r="H19" s="267"/>
      <c r="I19" s="119"/>
      <c r="J19" s="186">
        <f>SUM(J14:J18)</f>
        <v>724.13</v>
      </c>
      <c r="K19" s="186">
        <f>SUM(K14:K18)</f>
        <v>5110.18541</v>
      </c>
      <c r="L19" s="187">
        <f>SUM(L14:L18)</f>
        <v>61322.22492000001</v>
      </c>
      <c r="M19" s="175">
        <f t="shared" si="0"/>
        <v>9614.604279711653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9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430</v>
      </c>
      <c r="B21" s="17"/>
      <c r="C21" s="478"/>
      <c r="D21" s="221"/>
      <c r="E21" s="221"/>
      <c r="F21" s="221"/>
      <c r="G21" s="703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418</v>
      </c>
      <c r="B22" s="465"/>
      <c r="C22" s="478" t="s">
        <v>293</v>
      </c>
      <c r="D22" s="450">
        <f>'Исход дан'!D35</f>
        <v>1558</v>
      </c>
      <c r="E22" s="450">
        <v>3630</v>
      </c>
      <c r="F22" s="685">
        <f>D22/E22</f>
        <v>0.42920110192837463</v>
      </c>
      <c r="G22" s="710"/>
      <c r="H22" s="268">
        <v>6.5</v>
      </c>
      <c r="I22" s="225">
        <f>D22</f>
        <v>1558</v>
      </c>
      <c r="J22" s="225">
        <v>215.67</v>
      </c>
      <c r="K22" s="226">
        <f>J22*I22/100</f>
        <v>3360.1385999999998</v>
      </c>
      <c r="L22" s="229">
        <f>K22*H22</f>
        <v>21840.900899999997</v>
      </c>
      <c r="M22" s="227"/>
      <c r="N22"/>
    </row>
    <row r="23" spans="1:16" s="1" customFormat="1" ht="15" customHeight="1">
      <c r="A23" s="444" t="s">
        <v>419</v>
      </c>
      <c r="B23" s="465"/>
      <c r="C23" s="478" t="s">
        <v>293</v>
      </c>
      <c r="D23" s="450">
        <f>'Исход дан'!D36</f>
        <v>0</v>
      </c>
      <c r="E23" s="450">
        <v>3080</v>
      </c>
      <c r="F23" s="685">
        <f>D23/E23</f>
        <v>0</v>
      </c>
      <c r="G23" s="710"/>
      <c r="H23" s="269">
        <v>5.5</v>
      </c>
      <c r="I23" s="223">
        <f>I22</f>
        <v>1558</v>
      </c>
      <c r="J23" s="223">
        <v>650.95</v>
      </c>
      <c r="K23" s="224">
        <f>J23*I23/100</f>
        <v>10141.801000000001</v>
      </c>
      <c r="L23" s="230">
        <f>K23*H23</f>
        <v>55779.90550000001</v>
      </c>
      <c r="M23" s="228"/>
      <c r="N23"/>
      <c r="P23" s="1" t="s">
        <v>429</v>
      </c>
    </row>
    <row r="24" spans="1:14" s="1" customFormat="1" ht="15" customHeight="1">
      <c r="A24" s="444" t="s">
        <v>420</v>
      </c>
      <c r="B24" s="465"/>
      <c r="C24" s="478" t="s">
        <v>293</v>
      </c>
      <c r="D24" s="450">
        <f>'Исход дан'!D37</f>
        <v>0</v>
      </c>
      <c r="E24" s="450">
        <v>2500</v>
      </c>
      <c r="F24" s="685">
        <f>D24/E24</f>
        <v>0</v>
      </c>
      <c r="G24" s="710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31"/>
      <c r="G25" s="710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421</v>
      </c>
      <c r="B26" s="465"/>
      <c r="C26" s="478" t="s">
        <v>293</v>
      </c>
      <c r="D26" s="450">
        <f>'Исход дан'!D38</f>
        <v>1436</v>
      </c>
      <c r="E26" s="450">
        <v>2340</v>
      </c>
      <c r="F26" s="685">
        <f>D26/E26</f>
        <v>0.6136752136752137</v>
      </c>
      <c r="G26" s="710"/>
      <c r="H26" s="268">
        <v>6.5</v>
      </c>
      <c r="I26" s="225">
        <f>D26</f>
        <v>1436</v>
      </c>
      <c r="J26" s="225">
        <v>279.99</v>
      </c>
      <c r="K26" s="226">
        <f>J26*I26/100</f>
        <v>4020.6564000000003</v>
      </c>
      <c r="L26" s="229">
        <f>K26*H26</f>
        <v>26134.266600000003</v>
      </c>
      <c r="M26" s="227"/>
      <c r="N26"/>
    </row>
    <row r="27" spans="1:14" s="1" customFormat="1" ht="15" customHeight="1">
      <c r="A27" s="444" t="s">
        <v>422</v>
      </c>
      <c r="B27" s="465"/>
      <c r="C27" s="478" t="s">
        <v>293</v>
      </c>
      <c r="D27" s="450">
        <f>'Исход дан'!D39</f>
        <v>0</v>
      </c>
      <c r="E27" s="450">
        <v>1980</v>
      </c>
      <c r="F27" s="685">
        <f>D27/E27</f>
        <v>0</v>
      </c>
      <c r="G27" s="710"/>
      <c r="H27" s="269">
        <v>5.5</v>
      </c>
      <c r="I27" s="223">
        <f>I26</f>
        <v>1436</v>
      </c>
      <c r="J27" s="223">
        <v>931.98</v>
      </c>
      <c r="K27" s="224">
        <f>J27*I27/100</f>
        <v>13383.2328</v>
      </c>
      <c r="L27" s="230">
        <f>K27*H27</f>
        <v>73607.7804</v>
      </c>
      <c r="M27" s="228"/>
      <c r="N27"/>
    </row>
    <row r="28" spans="1:14" s="1" customFormat="1" ht="15" customHeight="1">
      <c r="A28" s="444" t="s">
        <v>423</v>
      </c>
      <c r="B28" s="465"/>
      <c r="C28" s="478" t="s">
        <v>293</v>
      </c>
      <c r="D28" s="450">
        <f>'Исход дан'!D40</f>
        <v>0</v>
      </c>
      <c r="E28" s="450">
        <v>1610</v>
      </c>
      <c r="F28" s="685">
        <f>D28/E28</f>
        <v>0</v>
      </c>
      <c r="G28" s="710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31"/>
      <c r="G29" s="710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424</v>
      </c>
      <c r="B30" s="465"/>
      <c r="C30" s="478" t="s">
        <v>293</v>
      </c>
      <c r="D30" s="450">
        <f>'Исход дан'!D41</f>
        <v>1957</v>
      </c>
      <c r="E30" s="450">
        <v>30000</v>
      </c>
      <c r="F30" s="685">
        <f>D30/E30</f>
        <v>0.06523333333333334</v>
      </c>
      <c r="G30" s="710"/>
      <c r="H30" s="268">
        <v>6.5</v>
      </c>
      <c r="I30" s="225">
        <f>D30</f>
        <v>1957</v>
      </c>
      <c r="J30" s="225">
        <v>77.76</v>
      </c>
      <c r="K30" s="226">
        <f>J30*I30/100</f>
        <v>1521.7632</v>
      </c>
      <c r="L30" s="229">
        <f>K30*H30</f>
        <v>9891.4608</v>
      </c>
      <c r="M30" s="227"/>
      <c r="N30"/>
    </row>
    <row r="31" spans="1:14" s="5" customFormat="1" ht="15" customHeight="1">
      <c r="A31" s="445" t="s">
        <v>428</v>
      </c>
      <c r="B31" s="466" t="s">
        <v>290</v>
      </c>
      <c r="C31" s="478" t="s">
        <v>293</v>
      </c>
      <c r="D31" s="221" t="s">
        <v>293</v>
      </c>
      <c r="E31" s="221" t="s">
        <v>293</v>
      </c>
      <c r="F31" s="732">
        <f>F22+F23+F24+F26+F27+F28+F30</f>
        <v>1.1081096489369215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373</v>
      </c>
      <c r="B32" s="467"/>
      <c r="C32" s="478" t="s">
        <v>293</v>
      </c>
      <c r="D32" s="221" t="s">
        <v>293</v>
      </c>
      <c r="E32" s="221" t="s">
        <v>293</v>
      </c>
      <c r="F32" s="733">
        <v>1.12</v>
      </c>
      <c r="G32" s="711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426</v>
      </c>
      <c r="B33" s="461"/>
      <c r="C33" s="481" t="s">
        <v>293</v>
      </c>
      <c r="D33" s="451" t="s">
        <v>293</v>
      </c>
      <c r="E33" s="451" t="s">
        <v>293</v>
      </c>
      <c r="F33" s="560">
        <f>F31*F32</f>
        <v>1.2410828068093522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380</v>
      </c>
      <c r="B34" s="112" t="s">
        <v>296</v>
      </c>
      <c r="C34" s="792">
        <f>3500*1.25*1.06*1.06</f>
        <v>4915.75</v>
      </c>
      <c r="D34" s="221" t="s">
        <v>293</v>
      </c>
      <c r="E34" s="221" t="s">
        <v>293</v>
      </c>
      <c r="F34" s="684">
        <f>F33</f>
        <v>1.2410828068093522</v>
      </c>
      <c r="G34" s="712">
        <f>C34*F34*12</f>
        <v>73210.23369087688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293</v>
      </c>
      <c r="E35" s="221" t="s">
        <v>293</v>
      </c>
      <c r="F35" s="221" t="s">
        <v>293</v>
      </c>
      <c r="G35" s="713">
        <f>G34*C35</f>
        <v>13909.944401266606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432</v>
      </c>
      <c r="C36" s="479" t="s">
        <v>293</v>
      </c>
      <c r="D36" s="477" t="s">
        <v>293</v>
      </c>
      <c r="E36" s="477" t="s">
        <v>293</v>
      </c>
      <c r="F36" s="477" t="s">
        <v>293</v>
      </c>
      <c r="G36" s="491">
        <f>G34+G35</f>
        <v>87120.17809214348</v>
      </c>
      <c r="H36" s="273"/>
      <c r="I36" s="116"/>
      <c r="J36" s="116"/>
      <c r="K36" s="176"/>
      <c r="L36" s="180"/>
      <c r="M36" s="181"/>
      <c r="N36" s="874">
        <f>G36/12/9533.4</f>
        <v>0.7615346928705349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293</v>
      </c>
      <c r="E37" s="221" t="s">
        <v>293</v>
      </c>
      <c r="F37" s="221" t="s">
        <v>293</v>
      </c>
      <c r="G37" s="714">
        <f>G36*C37</f>
        <v>17598.275974612985</v>
      </c>
      <c r="H37" s="336">
        <v>0.262</v>
      </c>
      <c r="I37" s="334"/>
      <c r="J37" s="334"/>
      <c r="K37" s="335"/>
      <c r="L37" s="337"/>
      <c r="M37" s="338"/>
      <c r="N37" s="904">
        <f>G37/12/9533.4</f>
        <v>0.15383000795984805</v>
      </c>
    </row>
    <row r="38" spans="1:14" s="22" customFormat="1" ht="15" customHeight="1" thickBot="1">
      <c r="A38" s="446" t="s">
        <v>297</v>
      </c>
      <c r="B38" s="439" t="s">
        <v>302</v>
      </c>
      <c r="C38" s="730">
        <f>'спец инв'!H22</f>
        <v>1246.242</v>
      </c>
      <c r="D38" s="450" t="s">
        <v>293</v>
      </c>
      <c r="E38" s="450" t="s">
        <v>293</v>
      </c>
      <c r="F38" s="685">
        <f>F33</f>
        <v>1.2410828068093522</v>
      </c>
      <c r="G38" s="715">
        <f>C38*F38</f>
        <v>1546.6895193237008</v>
      </c>
      <c r="H38" s="329"/>
      <c r="I38" s="328"/>
      <c r="J38" s="328"/>
      <c r="K38" s="328"/>
      <c r="L38" s="326"/>
      <c r="M38" s="330"/>
      <c r="N38" s="904">
        <f>SUM(G38:G41)/12/9533.4</f>
        <v>0.09291317658193392</v>
      </c>
    </row>
    <row r="39" spans="1:13" s="22" customFormat="1" ht="15" customHeight="1" thickBot="1">
      <c r="A39" s="446" t="s">
        <v>298</v>
      </c>
      <c r="B39" s="439" t="s">
        <v>302</v>
      </c>
      <c r="C39" s="730">
        <f>'спец инв'!H69</f>
        <v>2813.9908333333333</v>
      </c>
      <c r="D39" s="450" t="s">
        <v>293</v>
      </c>
      <c r="E39" s="450" t="s">
        <v>293</v>
      </c>
      <c r="F39" s="685">
        <f>F33</f>
        <v>1.2410828068093522</v>
      </c>
      <c r="G39" s="715">
        <f>C39*F39</f>
        <v>3492.3956417691215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299</v>
      </c>
      <c r="B40" s="439" t="s">
        <v>302</v>
      </c>
      <c r="C40" s="730">
        <f>'спец инв'!H56</f>
        <v>2528.20865</v>
      </c>
      <c r="D40" s="450" t="s">
        <v>293</v>
      </c>
      <c r="E40" s="450" t="s">
        <v>293</v>
      </c>
      <c r="F40" s="685">
        <f>F33</f>
        <v>1.2410828068093522</v>
      </c>
      <c r="G40" s="715">
        <f>C40*F40</f>
        <v>3137.7162875416834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300</v>
      </c>
      <c r="B41" s="439" t="s">
        <v>405</v>
      </c>
      <c r="C41" s="485" t="s">
        <v>293</v>
      </c>
      <c r="D41" s="450" t="s">
        <v>293</v>
      </c>
      <c r="E41" s="450" t="s">
        <v>293</v>
      </c>
      <c r="F41" s="450" t="s">
        <v>293</v>
      </c>
      <c r="G41" s="715">
        <f>'спец инв'!K71</f>
        <v>2452.54028288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383</v>
      </c>
      <c r="B42" s="464"/>
      <c r="C42" s="480" t="s">
        <v>293</v>
      </c>
      <c r="D42" s="487" t="s">
        <v>293</v>
      </c>
      <c r="E42" s="487" t="s">
        <v>293</v>
      </c>
      <c r="F42" s="487" t="s">
        <v>293</v>
      </c>
      <c r="G42" s="716">
        <f>G36+G37+G38+G39+G40+G41</f>
        <v>115347.79579827098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9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384</v>
      </c>
      <c r="B44" s="17"/>
      <c r="C44" s="450" t="s">
        <v>293</v>
      </c>
      <c r="D44" s="221">
        <f>'Исход дан'!D7</f>
        <v>533</v>
      </c>
      <c r="E44" s="221"/>
      <c r="F44" s="685" t="e">
        <f>D44/E44</f>
        <v>#DIV/0!</v>
      </c>
      <c r="G44" s="703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374</v>
      </c>
      <c r="B45" s="17"/>
      <c r="C45" s="450" t="s">
        <v>293</v>
      </c>
      <c r="D45" s="450" t="s">
        <v>293</v>
      </c>
      <c r="E45" s="450" t="s">
        <v>293</v>
      </c>
      <c r="F45" s="734">
        <v>1.12</v>
      </c>
      <c r="G45" s="703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431</v>
      </c>
      <c r="B46" s="469"/>
      <c r="C46" s="735"/>
      <c r="D46" s="736"/>
      <c r="E46" s="736"/>
      <c r="F46" s="737" t="e">
        <f>F44*F45</f>
        <v>#DIV/0!</v>
      </c>
      <c r="G46" s="717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380</v>
      </c>
      <c r="B47" s="17" t="s">
        <v>296</v>
      </c>
      <c r="C47" s="478"/>
      <c r="D47" s="221" t="s">
        <v>293</v>
      </c>
      <c r="E47" s="221" t="s">
        <v>293</v>
      </c>
      <c r="F47" s="684" t="e">
        <f>F46</f>
        <v>#DIV/0!</v>
      </c>
      <c r="G47" s="706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8"/>
      <c r="D48" s="221" t="s">
        <v>293</v>
      </c>
      <c r="E48" s="221" t="s">
        <v>293</v>
      </c>
      <c r="F48" s="221" t="s">
        <v>293</v>
      </c>
      <c r="G48" s="706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432</v>
      </c>
      <c r="C49" s="479" t="s">
        <v>293</v>
      </c>
      <c r="D49" s="477" t="s">
        <v>293</v>
      </c>
      <c r="E49" s="477" t="s">
        <v>293</v>
      </c>
      <c r="F49" s="477" t="s">
        <v>293</v>
      </c>
      <c r="G49" s="491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9"/>
      <c r="D50" s="221" t="s">
        <v>293</v>
      </c>
      <c r="E50" s="221" t="s">
        <v>293</v>
      </c>
      <c r="F50" s="221" t="s">
        <v>293</v>
      </c>
      <c r="G50" s="706">
        <f>G49*C50</f>
        <v>0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9" t="s">
        <v>302</v>
      </c>
      <c r="C51" s="730">
        <f>'спец инв'!H30</f>
        <v>0</v>
      </c>
      <c r="D51" s="452" t="s">
        <v>293</v>
      </c>
      <c r="E51" s="452" t="s">
        <v>293</v>
      </c>
      <c r="F51" s="743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302</v>
      </c>
      <c r="C52" s="738">
        <f>'спец инв'!H79</f>
        <v>0</v>
      </c>
      <c r="D52" s="452" t="s">
        <v>293</v>
      </c>
      <c r="E52" s="452" t="s">
        <v>293</v>
      </c>
      <c r="F52" s="743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9" t="s">
        <v>293</v>
      </c>
      <c r="D53" s="452" t="s">
        <v>293</v>
      </c>
      <c r="E53" s="452" t="s">
        <v>293</v>
      </c>
      <c r="F53" s="221" t="s">
        <v>293</v>
      </c>
      <c r="G53" s="707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381</v>
      </c>
      <c r="B54" s="464"/>
      <c r="C54" s="480" t="s">
        <v>293</v>
      </c>
      <c r="D54" s="487" t="s">
        <v>293</v>
      </c>
      <c r="E54" s="487" t="s">
        <v>293</v>
      </c>
      <c r="F54" s="487" t="s">
        <v>293</v>
      </c>
      <c r="G54" s="718">
        <v>0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9" t="s">
        <v>293</v>
      </c>
      <c r="D55" s="452" t="s">
        <v>293</v>
      </c>
      <c r="E55" s="452" t="s">
        <v>293</v>
      </c>
      <c r="F55" s="221" t="s">
        <v>293</v>
      </c>
      <c r="G55" s="719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9" t="s">
        <v>293</v>
      </c>
      <c r="D56" s="452" t="s">
        <v>293</v>
      </c>
      <c r="E56" s="452" t="s">
        <v>293</v>
      </c>
      <c r="F56" s="250" t="s">
        <v>293</v>
      </c>
      <c r="G56" s="707">
        <f>'спец инв'!K97</f>
        <v>1620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40" t="s">
        <v>293</v>
      </c>
      <c r="D57" s="459" t="s">
        <v>293</v>
      </c>
      <c r="E57" s="459" t="s">
        <v>293</v>
      </c>
      <c r="F57" s="221" t="s">
        <v>293</v>
      </c>
      <c r="G57" s="520">
        <f>'спец инв'!K98</f>
        <v>240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507</v>
      </c>
      <c r="B58" s="473"/>
      <c r="C58" s="740"/>
      <c r="D58" s="459"/>
      <c r="E58" s="459"/>
      <c r="F58" s="221"/>
      <c r="G58" s="520">
        <v>30127.2</v>
      </c>
      <c r="H58" s="362"/>
      <c r="I58" s="360"/>
      <c r="J58" s="360"/>
      <c r="K58" s="361"/>
      <c r="L58" s="363"/>
      <c r="M58" s="364"/>
      <c r="N58" s="365">
        <v>3381.5</v>
      </c>
      <c r="P58" s="22">
        <v>5666.93</v>
      </c>
    </row>
    <row r="59" spans="1:16" s="21" customFormat="1" ht="29.25" customHeight="1" thickBot="1">
      <c r="A59" s="458" t="s">
        <v>382</v>
      </c>
      <c r="B59" s="468" t="s">
        <v>432</v>
      </c>
      <c r="C59" s="486" t="s">
        <v>293</v>
      </c>
      <c r="D59" s="488" t="s">
        <v>293</v>
      </c>
      <c r="E59" s="488" t="s">
        <v>293</v>
      </c>
      <c r="F59" s="488" t="s">
        <v>293</v>
      </c>
      <c r="G59" s="720">
        <f>G55+G56+G57+G58</f>
        <v>32033.268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385</v>
      </c>
      <c r="B60" s="474"/>
      <c r="C60" s="741" t="s">
        <v>293</v>
      </c>
      <c r="D60" s="497" t="s">
        <v>293</v>
      </c>
      <c r="E60" s="497" t="s">
        <v>293</v>
      </c>
      <c r="F60" s="498" t="s">
        <v>293</v>
      </c>
      <c r="G60" s="721">
        <f>G19+G42+G59</f>
        <v>218317.89299798265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5" t="s">
        <v>59</v>
      </c>
      <c r="B61" s="496"/>
      <c r="C61" s="742" t="s">
        <v>293</v>
      </c>
      <c r="D61" s="499" t="s">
        <v>293</v>
      </c>
      <c r="E61" s="499" t="s">
        <v>293</v>
      </c>
      <c r="F61" s="500" t="s">
        <v>293</v>
      </c>
      <c r="G61" s="686">
        <f>G60/D7/12</f>
        <v>1.9091007848968893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L9" sqref="L9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15" t="s">
        <v>761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435</v>
      </c>
    </row>
    <row r="3" spans="1:132" s="2" customFormat="1" ht="84" customHeight="1">
      <c r="A3" s="933" t="s">
        <v>0</v>
      </c>
      <c r="B3" s="156" t="s">
        <v>112</v>
      </c>
      <c r="C3" s="929" t="s">
        <v>2</v>
      </c>
      <c r="D3" s="929"/>
      <c r="E3" s="929" t="s">
        <v>266</v>
      </c>
      <c r="F3" s="41" t="s">
        <v>386</v>
      </c>
      <c r="G3" s="126" t="s">
        <v>287</v>
      </c>
      <c r="H3" s="204" t="s">
        <v>286</v>
      </c>
      <c r="I3" s="931" t="s">
        <v>43</v>
      </c>
      <c r="J3" s="932"/>
      <c r="K3" s="204" t="s">
        <v>288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34"/>
      <c r="B4" s="157"/>
      <c r="C4" s="531" t="s">
        <v>267</v>
      </c>
      <c r="D4" s="531" t="s">
        <v>14</v>
      </c>
      <c r="E4" s="930"/>
      <c r="F4" s="531" t="s">
        <v>396</v>
      </c>
      <c r="G4" s="532" t="s">
        <v>368</v>
      </c>
      <c r="H4" s="533" t="s">
        <v>397</v>
      </c>
      <c r="I4" s="534" t="s">
        <v>485</v>
      </c>
      <c r="J4" s="532" t="s">
        <v>398</v>
      </c>
      <c r="K4" s="533" t="s">
        <v>399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0.831983157894737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5">
        <f>264.8*1.059</f>
        <v>280.4232</v>
      </c>
      <c r="H9" s="206">
        <f>F9*G9</f>
        <v>280.4232</v>
      </c>
      <c r="I9" s="287">
        <f>I7</f>
        <v>0.831983157894737</v>
      </c>
      <c r="J9" s="413">
        <f>F9*I9</f>
        <v>0.831983157894737</v>
      </c>
      <c r="K9" s="206">
        <f>H9*I9</f>
        <v>233.30737948294743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0.831983157894737</v>
      </c>
      <c r="J10" s="413">
        <f>F10*I10</f>
        <v>4.991898947368422</v>
      </c>
      <c r="K10" s="206">
        <f>H10*I10</f>
        <v>140.22244143157897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0.831983157894737</v>
      </c>
      <c r="J11" s="413">
        <f>F11*I11</f>
        <v>0.831983157894737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0.831983157894737</v>
      </c>
      <c r="J12" s="413">
        <f>F12*I12</f>
        <v>3.327932631578948</v>
      </c>
      <c r="K12" s="206">
        <f>H12*I12</f>
        <v>93.48162762105265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467.01144853557906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1.2410828068093522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367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1.2410828068093522</v>
      </c>
      <c r="J17" s="413">
        <f>F17*I17</f>
        <v>1.2410828068093522</v>
      </c>
      <c r="K17" s="206">
        <f>H17*I17</f>
        <v>696.5825469778852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1.2410828068093522</v>
      </c>
      <c r="J18" s="413">
        <f>F18*I18</f>
        <v>1.2410828068093522</v>
      </c>
      <c r="K18" s="206">
        <f>H18*I18</f>
        <v>69.72403208654941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1.2410828068093522</v>
      </c>
      <c r="J19" s="413">
        <f>F19*I19</f>
        <v>7.446496840856113</v>
      </c>
      <c r="K19" s="206">
        <f>H19*I19</f>
        <v>292.84093476350756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1.2410828068093522</v>
      </c>
      <c r="J20" s="413">
        <f>F20*I20</f>
        <v>0.6205414034046761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1.2410828068093522</v>
      </c>
      <c r="J21" s="413">
        <f>F21*I21</f>
        <v>1.2410828068093522</v>
      </c>
      <c r="K21" s="206">
        <f>H21*I21</f>
        <v>487.54200549575876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1546.6895193237008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0.831983157894737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387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0.831983157894737</v>
      </c>
      <c r="J36" s="413">
        <f aca="true" t="shared" si="2" ref="J36:J41">F36*I36</f>
        <v>9.983797894736844</v>
      </c>
      <c r="K36" s="206">
        <f aca="true" t="shared" si="3" ref="K36:K42">H36*I36</f>
        <v>1457.255108311579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0.831983157894737</v>
      </c>
      <c r="J37" s="413">
        <f t="shared" si="2"/>
        <v>0.831983157894737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0.831983157894737</v>
      </c>
      <c r="J38" s="413">
        <f t="shared" si="2"/>
        <v>0.831983157894737</v>
      </c>
      <c r="K38" s="206">
        <f t="shared" si="3"/>
        <v>112.08976293052633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0.831983157894737</v>
      </c>
      <c r="J39" s="413">
        <f t="shared" si="2"/>
        <v>0.831983157894737</v>
      </c>
      <c r="K39" s="206">
        <f t="shared" si="3"/>
        <v>121.4379256926316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0.831983157894737</v>
      </c>
      <c r="J40" s="413">
        <f t="shared" si="2"/>
        <v>0.4159915789473685</v>
      </c>
      <c r="K40" s="206">
        <f t="shared" si="3"/>
        <v>46.696718703157906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0.831983157894737</v>
      </c>
      <c r="J41" s="413">
        <f t="shared" si="2"/>
        <v>0.831983157894737</v>
      </c>
      <c r="K41" s="206">
        <f t="shared" si="3"/>
        <v>84.04527464421054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0.831983157894737</v>
      </c>
      <c r="J42" s="413">
        <f>F42*I42</f>
        <v>0.831983157894737</v>
      </c>
      <c r="K42" s="206">
        <f t="shared" si="3"/>
        <v>51.41489519157896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1872.9396854736847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406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705.7</v>
      </c>
      <c r="J44" s="746">
        <f>I44*F44</f>
        <v>16.9368</v>
      </c>
      <c r="K44" s="209">
        <f>H44*I44</f>
        <v>1346.4756000000002</v>
      </c>
    </row>
    <row r="45" spans="1:11" ht="18.75" customHeight="1">
      <c r="A45" s="317" t="s">
        <v>437</v>
      </c>
      <c r="B45" s="318"/>
      <c r="C45" s="56"/>
      <c r="D45" s="56"/>
      <c r="E45" s="56"/>
      <c r="F45" s="52"/>
      <c r="G45" s="128"/>
      <c r="H45" s="208"/>
      <c r="I45" s="319">
        <f>'сан содерж'!F33</f>
        <v>1.2410828068093522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1.2410828068093522</v>
      </c>
      <c r="J47" s="413">
        <f aca="true" t="shared" si="6" ref="J47:J55">F47*I47</f>
        <v>39.81807338513338</v>
      </c>
      <c r="K47" s="206">
        <f aca="true" t="shared" si="7" ref="K47:K55">H47*I47</f>
        <v>2680.1545195533276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1.2410828068093522</v>
      </c>
      <c r="J48" s="413">
        <f t="shared" si="6"/>
        <v>0.11376592395752394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1.2410828068093522</v>
      </c>
      <c r="J49" s="413">
        <f t="shared" si="6"/>
        <v>0.11376592395752394</v>
      </c>
      <c r="K49" s="206">
        <f t="shared" si="7"/>
        <v>25.541360055855787</v>
      </c>
    </row>
    <row r="50" spans="1:11" ht="12.75">
      <c r="A50" s="44" t="s">
        <v>503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1.2410828068093522</v>
      </c>
      <c r="J50" s="413">
        <f t="shared" si="6"/>
        <v>0.28441480989380985</v>
      </c>
      <c r="K50" s="206">
        <f t="shared" si="7"/>
        <v>35.12238487378659</v>
      </c>
    </row>
    <row r="51" spans="1:11" ht="12.75">
      <c r="A51" s="44" t="s">
        <v>504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1.2410828068093522</v>
      </c>
      <c r="J51" s="413">
        <f t="shared" si="6"/>
        <v>0.28441480989380985</v>
      </c>
      <c r="K51" s="206">
        <f t="shared" si="7"/>
        <v>35.12238487378659</v>
      </c>
    </row>
    <row r="52" spans="1:11" ht="12.75">
      <c r="A52" s="44" t="s">
        <v>436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1.2410828068093522</v>
      </c>
      <c r="J52" s="413">
        <f t="shared" si="6"/>
        <v>0.5688296197876197</v>
      </c>
      <c r="K52" s="206">
        <f t="shared" si="7"/>
        <v>271.33172863869464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>F53*G53</f>
        <v>0</v>
      </c>
      <c r="I53" s="287">
        <f>I45</f>
        <v>1.2410828068093522</v>
      </c>
      <c r="J53" s="413">
        <f t="shared" si="6"/>
        <v>0.28441480989380985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5">
        <f>150*1.06</f>
        <v>159</v>
      </c>
      <c r="H54" s="209">
        <f t="shared" si="5"/>
        <v>72.875</v>
      </c>
      <c r="I54" s="287">
        <f>I45</f>
        <v>1.2410828068093522</v>
      </c>
      <c r="J54" s="413">
        <f t="shared" si="6"/>
        <v>0.5688296197876197</v>
      </c>
      <c r="K54" s="206">
        <f t="shared" si="7"/>
        <v>90.44390954623154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1.2410828068093522</v>
      </c>
      <c r="J55" s="413">
        <f t="shared" si="6"/>
        <v>0.28441480989380985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3137.716287541683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438</v>
      </c>
      <c r="B58" s="172"/>
      <c r="C58" s="35"/>
      <c r="D58" s="35"/>
      <c r="E58" s="35"/>
      <c r="F58" s="35"/>
      <c r="G58" s="103"/>
      <c r="H58" s="110"/>
      <c r="I58" s="286">
        <f>'сан содерж'!F33</f>
        <v>1.2410828068093522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1.2410828068093522</v>
      </c>
      <c r="J60" s="413">
        <f aca="true" t="shared" si="10" ref="J60:J68">F60*I60</f>
        <v>0.2240843956739108</v>
      </c>
      <c r="K60" s="206">
        <f aca="true" t="shared" si="11" ref="K60:K68">H60*I60</f>
        <v>32.70780656135537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1.2410828068093522</v>
      </c>
      <c r="J61" s="413">
        <f t="shared" si="10"/>
        <v>0.2240843956739108</v>
      </c>
      <c r="K61" s="206">
        <f t="shared" si="11"/>
        <v>19.976227536746453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1.2410828068093522</v>
      </c>
      <c r="J62" s="413">
        <f t="shared" si="10"/>
        <v>0.6722531870217324</v>
      </c>
      <c r="K62" s="206">
        <f t="shared" si="11"/>
        <v>83.01654606531375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1.2410828068093522</v>
      </c>
      <c r="J63" s="413">
        <f t="shared" si="10"/>
        <v>35.62941891215182</v>
      </c>
      <c r="K63" s="206">
        <f t="shared" si="11"/>
        <v>2398.2161869769393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1.2410828068093522</v>
      </c>
      <c r="J64" s="413">
        <f t="shared" si="10"/>
        <v>177.47484137373738</v>
      </c>
      <c r="K64" s="206">
        <f t="shared" si="11"/>
        <v>470.3083296404041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1.2410828068093522</v>
      </c>
      <c r="J65" s="413">
        <f t="shared" si="10"/>
        <v>0.3361265935108662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1.2410828068093522</v>
      </c>
      <c r="J66" s="413">
        <f t="shared" si="10"/>
        <v>2.6890127480869297</v>
      </c>
      <c r="K66" s="206">
        <f t="shared" si="11"/>
        <v>362.27993149875965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1.2410828068093522</v>
      </c>
      <c r="J67" s="413">
        <f t="shared" si="10"/>
        <v>0.6722531870217324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1.2410828068093522</v>
      </c>
      <c r="J68" s="413">
        <f t="shared" si="10"/>
        <v>0.2240843956739108</v>
      </c>
      <c r="K68" s="206">
        <f t="shared" si="11"/>
        <v>125.89061348960311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3492.395641769122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6630.111929310805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439</v>
      </c>
      <c r="B71" s="554" t="s">
        <v>502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31.16</v>
      </c>
      <c r="J71" s="442">
        <f>F71*I71</f>
        <v>3.98848</v>
      </c>
      <c r="K71" s="206">
        <f>H71*I71</f>
        <v>2452.54028288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6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4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400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268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486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269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270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301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271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388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369</v>
      </c>
      <c r="B96" s="161" t="s">
        <v>371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5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370</v>
      </c>
      <c r="B97" s="161" t="s">
        <v>389</v>
      </c>
      <c r="C97" s="77">
        <v>1</v>
      </c>
      <c r="D97" s="77">
        <v>162</v>
      </c>
      <c r="E97" s="77">
        <v>1</v>
      </c>
      <c r="F97" s="275">
        <v>162</v>
      </c>
      <c r="G97" s="104">
        <v>10</v>
      </c>
      <c r="H97" s="209">
        <f>F97*G97</f>
        <v>1620</v>
      </c>
      <c r="I97" s="293"/>
      <c r="J97" s="422"/>
      <c r="K97" s="687">
        <f>F97*G97</f>
        <v>1620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372</v>
      </c>
      <c r="B98" s="120" t="s">
        <v>390</v>
      </c>
      <c r="C98" s="32">
        <v>1</v>
      </c>
      <c r="D98" s="32">
        <v>6</v>
      </c>
      <c r="E98" s="32">
        <v>4</v>
      </c>
      <c r="F98" s="275">
        <v>24</v>
      </c>
      <c r="G98" s="103">
        <v>10</v>
      </c>
      <c r="H98" s="209">
        <f>F98*G98</f>
        <v>240</v>
      </c>
      <c r="I98" s="409"/>
      <c r="J98" s="423"/>
      <c r="K98" s="687">
        <f>F98*G98</f>
        <v>240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25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41" t="s">
        <v>760</v>
      </c>
      <c r="C1" s="941"/>
      <c r="D1" s="941"/>
      <c r="E1" s="941"/>
      <c r="F1" s="941"/>
      <c r="G1" s="941"/>
      <c r="H1" s="941"/>
      <c r="I1" s="941"/>
      <c r="J1" s="219"/>
    </row>
    <row r="2" spans="1:10" ht="13.5" thickBot="1">
      <c r="A2" s="3"/>
      <c r="B2" s="29" t="s">
        <v>441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442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278</v>
      </c>
      <c r="I3" s="508" t="s">
        <v>246</v>
      </c>
      <c r="J3" s="509" t="s">
        <v>263</v>
      </c>
    </row>
    <row r="4" spans="1:10" ht="36.75" thickBot="1">
      <c r="A4" s="510"/>
      <c r="B4" s="511"/>
      <c r="C4" s="511"/>
      <c r="D4" s="512"/>
      <c r="E4" s="511" t="s">
        <v>277</v>
      </c>
      <c r="F4" s="513" t="s">
        <v>276</v>
      </c>
      <c r="G4" s="295" t="s">
        <v>275</v>
      </c>
      <c r="H4" s="296" t="s">
        <v>274</v>
      </c>
      <c r="I4" s="514" t="s">
        <v>401</v>
      </c>
      <c r="J4" s="340" t="s">
        <v>279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9529.7</v>
      </c>
    </row>
    <row r="7" spans="1:10" ht="51.75" customHeight="1">
      <c r="A7" s="42">
        <v>1</v>
      </c>
      <c r="B7" s="34" t="s">
        <v>444</v>
      </c>
      <c r="C7" s="783" t="s">
        <v>111</v>
      </c>
      <c r="D7" s="783" t="s">
        <v>165</v>
      </c>
      <c r="E7" s="784">
        <v>1</v>
      </c>
      <c r="F7" s="804">
        <f>'Исход дан'!D17</f>
        <v>1321.2</v>
      </c>
      <c r="G7" s="784">
        <v>1</v>
      </c>
      <c r="H7" s="782">
        <f>5250*1.06*1.06/165.2*0.012*1.202*3</f>
        <v>1.5451404406779665</v>
      </c>
      <c r="I7" s="785">
        <f>F7/E7*G7*H7</f>
        <v>2041.4395502237294</v>
      </c>
      <c r="J7" s="786">
        <f>I7/J$6/12</f>
        <v>0.017851554877765734</v>
      </c>
    </row>
    <row r="8" spans="1:10" ht="33.75" customHeight="1">
      <c r="A8" s="42">
        <v>2</v>
      </c>
      <c r="B8" s="34" t="s">
        <v>445</v>
      </c>
      <c r="C8" s="783" t="s">
        <v>166</v>
      </c>
      <c r="D8" s="783" t="s">
        <v>165</v>
      </c>
      <c r="E8" s="784">
        <v>1</v>
      </c>
      <c r="F8" s="784">
        <f>'Исход дан'!D14</f>
        <v>1321.2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446</v>
      </c>
      <c r="C9" s="783" t="s">
        <v>167</v>
      </c>
      <c r="D9" s="783" t="s">
        <v>165</v>
      </c>
      <c r="E9" s="784">
        <v>1</v>
      </c>
      <c r="F9" s="784">
        <f>'Исход дан'!D14</f>
        <v>1321.2</v>
      </c>
      <c r="G9" s="784">
        <v>1</v>
      </c>
      <c r="H9" s="782">
        <f>5250*1.06*1.06/165.2*0.09*1.202*0.4</f>
        <v>1.5451404406779663</v>
      </c>
      <c r="I9" s="785">
        <f t="shared" si="0"/>
        <v>2041.4395502237292</v>
      </c>
      <c r="J9" s="786">
        <f t="shared" si="1"/>
        <v>0.01785155487776573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447</v>
      </c>
      <c r="C10" s="803" t="s">
        <v>126</v>
      </c>
      <c r="D10" s="803" t="s">
        <v>127</v>
      </c>
      <c r="E10" s="826">
        <v>1</v>
      </c>
      <c r="F10" s="826">
        <f>'Исход дан'!D19</f>
        <v>140</v>
      </c>
      <c r="G10" s="826">
        <v>1</v>
      </c>
      <c r="H10" s="788">
        <f>8347.5*1.06*1.06/165.2*0.56*1.202</f>
        <v>38.2164735661017</v>
      </c>
      <c r="I10" s="827">
        <f t="shared" si="0"/>
        <v>5350.306299254237</v>
      </c>
      <c r="J10" s="828">
        <f t="shared" si="1"/>
        <v>0.04678624282728589</v>
      </c>
    </row>
    <row r="11" spans="1:10" ht="67.5" customHeight="1">
      <c r="A11" s="42">
        <v>5</v>
      </c>
      <c r="B11" s="803" t="s">
        <v>448</v>
      </c>
      <c r="C11" s="803" t="s">
        <v>117</v>
      </c>
      <c r="D11" s="803" t="s">
        <v>116</v>
      </c>
      <c r="E11" s="826">
        <v>1</v>
      </c>
      <c r="F11" s="795">
        <f>'Исход дан'!D20</f>
        <v>1476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449</v>
      </c>
      <c r="C12" s="803" t="s">
        <v>146</v>
      </c>
      <c r="D12" s="803" t="s">
        <v>118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450</v>
      </c>
      <c r="C13" s="803" t="s">
        <v>394</v>
      </c>
      <c r="D13" s="803" t="s">
        <v>118</v>
      </c>
      <c r="E13" s="826">
        <v>1</v>
      </c>
      <c r="F13" s="826">
        <f>'Исход дан'!D22</f>
        <v>192</v>
      </c>
      <c r="G13" s="826">
        <v>1</v>
      </c>
      <c r="H13" s="788">
        <f>8347.5*1.06*1.06/165.2*0.33*1.202</f>
        <v>22.520421922881358</v>
      </c>
      <c r="I13" s="827">
        <f t="shared" si="0"/>
        <v>4323.921009193221</v>
      </c>
      <c r="J13" s="828">
        <f t="shared" si="1"/>
        <v>0.037810922774704527</v>
      </c>
    </row>
    <row r="14" spans="1:13" ht="42" customHeight="1">
      <c r="A14" s="42">
        <v>8</v>
      </c>
      <c r="B14" s="803" t="s">
        <v>451</v>
      </c>
      <c r="C14" s="803" t="s">
        <v>474</v>
      </c>
      <c r="D14" s="803" t="s">
        <v>123</v>
      </c>
      <c r="E14" s="826">
        <v>1</v>
      </c>
      <c r="F14" s="826">
        <f>'Исход дан'!D26</f>
        <v>1130</v>
      </c>
      <c r="G14" s="826">
        <v>1</v>
      </c>
      <c r="H14" s="788">
        <f>8347.5*1.06*1.06/165.2*0.26*1.202</f>
        <v>17.743362727118647</v>
      </c>
      <c r="I14" s="827">
        <f t="shared" si="0"/>
        <v>20049.99988164407</v>
      </c>
      <c r="J14" s="828">
        <f t="shared" si="1"/>
        <v>0.17532905794204845</v>
      </c>
      <c r="K14" s="946" t="s">
        <v>695</v>
      </c>
      <c r="L14" s="947"/>
      <c r="M14" s="947"/>
    </row>
    <row r="15" spans="1:14" ht="34.5" customHeight="1">
      <c r="A15" s="42">
        <v>9</v>
      </c>
      <c r="B15" s="829" t="s">
        <v>452</v>
      </c>
      <c r="C15" s="829" t="s">
        <v>124</v>
      </c>
      <c r="D15" s="829" t="s">
        <v>125</v>
      </c>
      <c r="E15" s="830">
        <v>100</v>
      </c>
      <c r="F15" s="830">
        <f>'Исход дан'!D18</f>
        <v>37835</v>
      </c>
      <c r="G15" s="830">
        <v>1</v>
      </c>
      <c r="H15" s="831">
        <f>17430*1.06*1.06/165.2*0.87*1.202*0.9</f>
        <v>111.57459122135593</v>
      </c>
      <c r="I15" s="832">
        <f t="shared" si="0"/>
        <v>42214.24658860002</v>
      </c>
      <c r="J15" s="833">
        <f t="shared" si="1"/>
        <v>0.36914634063856516</v>
      </c>
      <c r="K15" t="s">
        <v>509</v>
      </c>
      <c r="L15" s="945" t="s">
        <v>722</v>
      </c>
      <c r="M15" s="945"/>
      <c r="N15" s="874">
        <f>7114/154.68121*1.0852</f>
        <v>49.90982938393099</v>
      </c>
    </row>
    <row r="16" spans="1:11" ht="46.5" customHeight="1">
      <c r="A16" s="42">
        <v>10</v>
      </c>
      <c r="B16" s="829" t="s">
        <v>453</v>
      </c>
      <c r="C16" s="829" t="s">
        <v>128</v>
      </c>
      <c r="D16" s="829" t="s">
        <v>129</v>
      </c>
      <c r="E16" s="830">
        <v>100</v>
      </c>
      <c r="F16" s="830">
        <f>'Исход дан'!D23</f>
        <v>4068</v>
      </c>
      <c r="G16" s="830">
        <v>1</v>
      </c>
      <c r="H16" s="831">
        <f>17430*1.06*1.06/165.2*7.7*1.202*0.9</f>
        <v>987.4992556372883</v>
      </c>
      <c r="I16" s="832">
        <f t="shared" si="0"/>
        <v>40171.46971932489</v>
      </c>
      <c r="J16" s="833">
        <f t="shared" si="1"/>
        <v>0.3512830914520297</v>
      </c>
      <c r="K16" t="s">
        <v>508</v>
      </c>
    </row>
    <row r="17" spans="1:14" ht="61.5" customHeight="1">
      <c r="A17" s="42">
        <v>11</v>
      </c>
      <c r="B17" s="34" t="s">
        <v>454</v>
      </c>
      <c r="C17" s="34" t="s">
        <v>122</v>
      </c>
      <c r="D17" s="34" t="s">
        <v>121</v>
      </c>
      <c r="E17" s="221">
        <v>1</v>
      </c>
      <c r="F17" s="221">
        <f>'Исход дан'!D25</f>
        <v>22</v>
      </c>
      <c r="G17" s="221">
        <v>1</v>
      </c>
      <c r="H17" s="448">
        <f>17430*1.06*1.06/165.2*4.1*1.202</f>
        <v>584.2347688474576</v>
      </c>
      <c r="I17" s="235">
        <f t="shared" si="0"/>
        <v>12853.164914644069</v>
      </c>
      <c r="J17" s="688">
        <f t="shared" si="1"/>
        <v>0.11239567627735804</v>
      </c>
      <c r="K17" s="793" t="s">
        <v>510</v>
      </c>
      <c r="L17" s="948" t="s">
        <v>696</v>
      </c>
      <c r="M17" s="948"/>
      <c r="N17" s="875" t="s">
        <v>723</v>
      </c>
    </row>
    <row r="18" spans="1:14" ht="56.25" customHeight="1">
      <c r="A18" s="42">
        <v>12</v>
      </c>
      <c r="B18" s="34" t="s">
        <v>455</v>
      </c>
      <c r="C18" s="34" t="s">
        <v>114</v>
      </c>
      <c r="D18" s="34" t="s">
        <v>115</v>
      </c>
      <c r="E18" s="221">
        <v>1</v>
      </c>
      <c r="F18" s="221">
        <f>'Исход дан'!D24</f>
        <v>5</v>
      </c>
      <c r="G18" s="221">
        <v>16</v>
      </c>
      <c r="H18" s="448">
        <f>9082.5*1.06*1.06/165.2*0.58*1.202*1.5</f>
        <v>64.59974659067798</v>
      </c>
      <c r="I18" s="235">
        <f t="shared" si="0"/>
        <v>5167.979727254238</v>
      </c>
      <c r="J18" s="688">
        <f t="shared" si="1"/>
        <v>0.04519187144098833</v>
      </c>
      <c r="K18" s="793" t="s">
        <v>511</v>
      </c>
      <c r="L18" s="945" t="s">
        <v>697</v>
      </c>
      <c r="M18" s="945"/>
      <c r="N18" s="819" t="s">
        <v>724</v>
      </c>
    </row>
    <row r="19" spans="1:10" ht="29.25" customHeight="1">
      <c r="A19" s="42">
        <v>13</v>
      </c>
      <c r="B19" s="34" t="s">
        <v>456</v>
      </c>
      <c r="C19" s="34" t="s">
        <v>119</v>
      </c>
      <c r="D19" s="34" t="s">
        <v>120</v>
      </c>
      <c r="E19" s="221">
        <v>1</v>
      </c>
      <c r="F19" s="221">
        <f>'Исход дан'!D27</f>
        <v>54</v>
      </c>
      <c r="G19" s="221">
        <v>1</v>
      </c>
      <c r="H19" s="448">
        <f>9082.5*1.06*1.06/165.2*3.24*1.202*0.5</f>
        <v>120.28918330677969</v>
      </c>
      <c r="I19" s="235">
        <f t="shared" si="0"/>
        <v>6495.615898566103</v>
      </c>
      <c r="J19" s="688">
        <f t="shared" si="1"/>
        <v>0.05680150738013878</v>
      </c>
    </row>
    <row r="20" spans="1:13" ht="30.75" customHeight="1">
      <c r="A20" s="42">
        <v>14</v>
      </c>
      <c r="B20" s="34" t="s">
        <v>456</v>
      </c>
      <c r="C20" s="34" t="s">
        <v>147</v>
      </c>
      <c r="D20" s="34" t="s">
        <v>120</v>
      </c>
      <c r="E20" s="221">
        <v>1</v>
      </c>
      <c r="F20" s="221">
        <f>'Исход дан'!D28</f>
        <v>2</v>
      </c>
      <c r="G20" s="221">
        <v>1</v>
      </c>
      <c r="H20" s="448">
        <f>9082.5*1.06*1.06/165.2*3.24*1.202*6</f>
        <v>1443.4701996813562</v>
      </c>
      <c r="I20" s="235">
        <f t="shared" si="0"/>
        <v>2886.9403993627125</v>
      </c>
      <c r="J20" s="688">
        <f t="shared" si="1"/>
        <v>0.02524511439117279</v>
      </c>
      <c r="L20" s="949" t="s">
        <v>731</v>
      </c>
      <c r="M20" s="949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506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7">
        <v>18</v>
      </c>
      <c r="B24" s="748" t="s">
        <v>463</v>
      </c>
      <c r="C24" s="748"/>
      <c r="D24" s="748"/>
      <c r="E24" s="748"/>
      <c r="F24" s="748"/>
      <c r="G24" s="748"/>
      <c r="H24" s="748"/>
      <c r="I24" s="749">
        <f>I7+I8+I9+I10+I12+I13+I14+I15+I16+I17+I18+I19+I20</f>
        <v>143596.52353829105</v>
      </c>
      <c r="J24" s="750">
        <f>I24/J6/12</f>
        <v>1.2556929348798234</v>
      </c>
      <c r="K24" t="s">
        <v>513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443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457</v>
      </c>
      <c r="C28" s="34" t="s">
        <v>245</v>
      </c>
      <c r="D28" s="34" t="s">
        <v>132</v>
      </c>
      <c r="E28" s="221">
        <v>1000</v>
      </c>
      <c r="F28" s="751">
        <f>'Исход дан'!D11</f>
        <v>9529.7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458</v>
      </c>
      <c r="C29" s="803" t="s">
        <v>312</v>
      </c>
      <c r="D29" s="34" t="s">
        <v>131</v>
      </c>
      <c r="E29" s="221">
        <v>1000</v>
      </c>
      <c r="F29" s="221">
        <f>'Исход дан'!D17</f>
        <v>1321.2</v>
      </c>
      <c r="G29" s="221">
        <v>7</v>
      </c>
      <c r="H29" s="448">
        <f>9082.5*1.06*1.06/165.2*4*1.202*1.1</f>
        <v>326.71136206779664</v>
      </c>
      <c r="I29" s="235">
        <f>F29/E29*G29*H29</f>
        <v>3021.5573609478106</v>
      </c>
      <c r="J29" s="688">
        <f aca="true" t="shared" si="3" ref="J29:J38">I29/J$6/12</f>
        <v>0.02642228472519081</v>
      </c>
      <c r="K29" s="793" t="s">
        <v>512</v>
      </c>
    </row>
    <row r="30" spans="1:10" ht="67.5" customHeight="1">
      <c r="A30" s="42">
        <v>2</v>
      </c>
      <c r="B30" s="34" t="s">
        <v>458</v>
      </c>
      <c r="C30" s="803" t="s">
        <v>313</v>
      </c>
      <c r="D30" s="34" t="s">
        <v>131</v>
      </c>
      <c r="E30" s="221">
        <v>1000</v>
      </c>
      <c r="F30" s="221">
        <f>'Исход дан'!D17</f>
        <v>1321.2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459</v>
      </c>
      <c r="C31" s="803" t="s">
        <v>440</v>
      </c>
      <c r="D31" s="34" t="s">
        <v>168</v>
      </c>
      <c r="E31" s="221">
        <v>1</v>
      </c>
      <c r="F31" s="221">
        <f>'Исход дан'!D5</f>
        <v>178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460</v>
      </c>
      <c r="C32" s="803" t="s">
        <v>314</v>
      </c>
      <c r="D32" s="34" t="s">
        <v>131</v>
      </c>
      <c r="E32" s="752">
        <v>1000</v>
      </c>
      <c r="F32" s="221">
        <f>'Исход дан'!D17</f>
        <v>1321.2</v>
      </c>
      <c r="G32" s="221">
        <v>12</v>
      </c>
      <c r="H32" s="448">
        <f>9082.5*1.06*1.06/165.2*4*1.202</f>
        <v>297.0103291525424</v>
      </c>
      <c r="I32" s="235">
        <f t="shared" si="2"/>
        <v>4708.9205625160685</v>
      </c>
      <c r="J32" s="887">
        <f t="shared" si="3"/>
        <v>0.041177586584712954</v>
      </c>
      <c r="K32" s="793" t="s">
        <v>512</v>
      </c>
    </row>
    <row r="33" spans="1:10" ht="40.5" customHeight="1">
      <c r="A33" s="42">
        <v>5</v>
      </c>
      <c r="B33" s="34" t="s">
        <v>460</v>
      </c>
      <c r="C33" s="34" t="s">
        <v>307</v>
      </c>
      <c r="D33" s="34" t="s">
        <v>131</v>
      </c>
      <c r="E33" s="752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461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45</v>
      </c>
      <c r="G34" s="221">
        <v>4</v>
      </c>
      <c r="H34" s="448">
        <f>9082.5*1.06*1.06/165.2*9*1.202</f>
        <v>668.2732405932204</v>
      </c>
      <c r="I34" s="235">
        <f t="shared" si="2"/>
        <v>1202.8918330677968</v>
      </c>
      <c r="J34" s="688">
        <f t="shared" si="3"/>
        <v>0.010518797662988662</v>
      </c>
    </row>
    <row r="35" spans="1:10" ht="66" customHeight="1">
      <c r="A35" s="42">
        <v>7</v>
      </c>
      <c r="B35" s="34" t="s">
        <v>462</v>
      </c>
      <c r="C35" s="34" t="s">
        <v>135</v>
      </c>
      <c r="D35" s="34" t="s">
        <v>505</v>
      </c>
      <c r="E35" s="221">
        <v>1</v>
      </c>
      <c r="F35" s="221">
        <f>'Исход дан'!D28</f>
        <v>2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492</v>
      </c>
      <c r="C36" s="34" t="s">
        <v>375</v>
      </c>
      <c r="D36" s="34" t="s">
        <v>137</v>
      </c>
      <c r="E36" s="221">
        <v>1000</v>
      </c>
      <c r="F36" s="751">
        <f>'Исход дан'!D12</f>
        <v>9529.7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492</v>
      </c>
      <c r="C37" s="34" t="s">
        <v>136</v>
      </c>
      <c r="D37" s="34" t="s">
        <v>137</v>
      </c>
      <c r="E37" s="221">
        <v>1000</v>
      </c>
      <c r="F37" s="221">
        <f>'Исход дан'!D17</f>
        <v>1321.2</v>
      </c>
      <c r="G37" s="221">
        <v>4</v>
      </c>
      <c r="H37" s="448">
        <f>9082.5*1.06*1.06/165.2*8*1.202</f>
        <v>594.0206583050848</v>
      </c>
      <c r="I37" s="235">
        <f t="shared" si="2"/>
        <v>3139.2803750107123</v>
      </c>
      <c r="J37" s="887">
        <f t="shared" si="3"/>
        <v>0.027451724389808637</v>
      </c>
    </row>
    <row r="38" spans="1:10" ht="28.5" customHeight="1">
      <c r="A38" s="747">
        <v>10</v>
      </c>
      <c r="B38" s="748" t="s">
        <v>138</v>
      </c>
      <c r="C38" s="748"/>
      <c r="D38" s="748"/>
      <c r="E38" s="748"/>
      <c r="F38" s="748"/>
      <c r="G38" s="748"/>
      <c r="H38" s="748"/>
      <c r="I38" s="749">
        <f>SUM(I28:I37)</f>
        <v>12072.650131542388</v>
      </c>
      <c r="J38" s="750">
        <f t="shared" si="3"/>
        <v>0.10557039336270106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155669.17366983343</v>
      </c>
      <c r="J40" s="342">
        <f>I40/J6/12</f>
        <v>1.3612633282425246</v>
      </c>
      <c r="K40" s="943"/>
      <c r="L40" s="944"/>
      <c r="M40" s="944"/>
    </row>
    <row r="41" spans="1:13" ht="108" thickBot="1">
      <c r="A41" s="528"/>
      <c r="B41" s="523"/>
      <c r="C41" s="821" t="s">
        <v>690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79"/>
      <c r="L41" s="879"/>
      <c r="M41" s="879"/>
    </row>
    <row r="42" spans="1:13" ht="19.5">
      <c r="A42" s="136"/>
      <c r="B42" s="34"/>
      <c r="C42" s="884" t="s">
        <v>701</v>
      </c>
      <c r="D42" s="34"/>
      <c r="E42" s="34"/>
      <c r="F42" s="34"/>
      <c r="G42" s="34"/>
      <c r="H42" s="34"/>
      <c r="I42" s="885">
        <v>10500.26</v>
      </c>
      <c r="J42" s="442"/>
      <c r="K42" s="879"/>
      <c r="L42" s="879"/>
      <c r="M42" s="879"/>
    </row>
    <row r="43" spans="1:13" ht="12.75">
      <c r="A43" s="136"/>
      <c r="B43" s="34"/>
      <c r="C43" s="821" t="s">
        <v>703</v>
      </c>
      <c r="D43" s="34"/>
      <c r="E43" s="34"/>
      <c r="F43" s="34"/>
      <c r="G43" s="34"/>
      <c r="H43" s="34"/>
      <c r="I43" s="823">
        <v>1582.2</v>
      </c>
      <c r="J43" s="442"/>
      <c r="K43" s="879"/>
      <c r="L43" s="879"/>
      <c r="M43" s="879"/>
    </row>
    <row r="44" spans="1:13" ht="12.75">
      <c r="A44" s="136"/>
      <c r="B44" s="136"/>
      <c r="C44" s="838" t="s">
        <v>704</v>
      </c>
      <c r="D44" s="136"/>
      <c r="E44" s="136"/>
      <c r="F44" s="136"/>
      <c r="G44" s="136"/>
      <c r="H44" s="136"/>
      <c r="I44" s="839">
        <v>1091.7</v>
      </c>
      <c r="J44" s="840"/>
      <c r="K44" s="879"/>
      <c r="L44" s="879"/>
      <c r="M44" s="879"/>
    </row>
    <row r="45" spans="1:13" ht="12.75">
      <c r="A45" s="136"/>
      <c r="B45" s="136"/>
      <c r="C45" s="838" t="s">
        <v>705</v>
      </c>
      <c r="D45" s="136"/>
      <c r="E45" s="136"/>
      <c r="F45" s="136"/>
      <c r="G45" s="136"/>
      <c r="H45" s="136"/>
      <c r="I45" s="839">
        <v>3399.96</v>
      </c>
      <c r="J45" s="840"/>
      <c r="K45" s="879"/>
      <c r="L45" s="879"/>
      <c r="M45" s="879"/>
    </row>
    <row r="46" spans="1:13" ht="12.75">
      <c r="A46" s="136"/>
      <c r="B46" s="136"/>
      <c r="C46" s="838" t="s">
        <v>706</v>
      </c>
      <c r="D46" s="136"/>
      <c r="E46" s="136"/>
      <c r="F46" s="136"/>
      <c r="G46" s="136"/>
      <c r="H46" s="136"/>
      <c r="I46" s="839">
        <v>4221.4</v>
      </c>
      <c r="J46" s="840"/>
      <c r="K46" s="879"/>
      <c r="L46" s="879"/>
      <c r="M46" s="879"/>
    </row>
    <row r="47" spans="1:15" ht="12.75">
      <c r="A47" s="136"/>
      <c r="B47" s="136"/>
      <c r="C47" s="838" t="s">
        <v>726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50" t="s">
        <v>729</v>
      </c>
      <c r="L47" s="951"/>
      <c r="M47" s="951"/>
      <c r="N47" s="951"/>
      <c r="O47" s="951"/>
    </row>
    <row r="48" spans="1:13" ht="12.75">
      <c r="A48" s="136"/>
      <c r="B48" s="136"/>
      <c r="C48" s="838" t="s">
        <v>730</v>
      </c>
      <c r="D48" s="136"/>
      <c r="E48" s="136"/>
      <c r="F48" s="136"/>
      <c r="G48" s="136"/>
      <c r="H48" s="136"/>
      <c r="I48" s="839">
        <v>648.11</v>
      </c>
      <c r="J48" s="840"/>
      <c r="K48" s="879"/>
      <c r="L48" s="879"/>
      <c r="M48" s="879"/>
    </row>
    <row r="49" spans="1:15" ht="12.75">
      <c r="A49" s="136"/>
      <c r="B49" s="136"/>
      <c r="C49" s="838" t="s">
        <v>738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35" t="s">
        <v>732</v>
      </c>
      <c r="L49" s="936"/>
      <c r="M49" s="936"/>
      <c r="N49" s="936"/>
      <c r="O49" s="936"/>
    </row>
    <row r="50" spans="1:15" ht="12.75">
      <c r="A50" s="136"/>
      <c r="B50" s="136"/>
      <c r="C50" s="838" t="s">
        <v>739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35" t="s">
        <v>733</v>
      </c>
      <c r="L50" s="936"/>
      <c r="M50" s="936"/>
      <c r="N50" s="936"/>
      <c r="O50" s="936"/>
    </row>
    <row r="51" spans="1:15" ht="12.75">
      <c r="A51" s="136"/>
      <c r="B51" s="136"/>
      <c r="C51" s="838" t="s">
        <v>742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81"/>
      <c r="L51" s="882"/>
      <c r="M51" s="882"/>
      <c r="N51" s="882"/>
      <c r="O51" s="882"/>
    </row>
    <row r="52" spans="1:15" ht="12.75">
      <c r="A52" s="136"/>
      <c r="B52" s="136"/>
      <c r="C52" s="838" t="s">
        <v>741</v>
      </c>
      <c r="D52" s="136"/>
      <c r="E52" s="136"/>
      <c r="F52" s="136"/>
      <c r="G52" s="136"/>
      <c r="H52" s="136"/>
      <c r="I52" s="839">
        <v>205</v>
      </c>
      <c r="J52" s="840"/>
      <c r="K52" s="881"/>
      <c r="L52" s="882"/>
      <c r="M52" s="882"/>
      <c r="N52" s="882"/>
      <c r="O52" s="882"/>
    </row>
    <row r="53" spans="1:15" ht="12.75">
      <c r="A53" s="136"/>
      <c r="B53" s="136"/>
      <c r="C53" s="838" t="s">
        <v>740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38" t="s">
        <v>743</v>
      </c>
      <c r="L53" s="939"/>
      <c r="M53" s="939"/>
      <c r="N53" s="939"/>
      <c r="O53" s="939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35" t="s">
        <v>734</v>
      </c>
      <c r="L54" s="936"/>
      <c r="M54" s="936"/>
      <c r="N54" s="936"/>
      <c r="O54" s="936"/>
    </row>
    <row r="55" spans="1:15" ht="25.5" customHeight="1">
      <c r="A55" s="942" t="s">
        <v>491</v>
      </c>
      <c r="B55" s="942"/>
      <c r="C55" s="942"/>
      <c r="D55" s="942"/>
      <c r="E55" s="942"/>
      <c r="F55" s="942"/>
      <c r="G55" s="942"/>
      <c r="H55" s="942"/>
      <c r="I55" s="942"/>
      <c r="J55" s="942"/>
      <c r="K55" s="940" t="s">
        <v>735</v>
      </c>
      <c r="L55" s="940"/>
      <c r="M55" s="940"/>
      <c r="N55" s="940"/>
      <c r="O55" s="940"/>
    </row>
    <row r="56" spans="1:11" ht="25.5">
      <c r="A56" t="s">
        <v>515</v>
      </c>
      <c r="B56" s="808"/>
      <c r="C56" s="878" t="s">
        <v>698</v>
      </c>
      <c r="D56" s="808" t="s">
        <v>56</v>
      </c>
      <c r="E56" s="808"/>
      <c r="F56" s="808"/>
      <c r="G56" s="808"/>
      <c r="H56" s="808"/>
      <c r="I56" s="883">
        <f>648.11</f>
        <v>648.11</v>
      </c>
      <c r="J56" s="818">
        <f>I56/1440.19/12</f>
        <v>0.03750141763702474</v>
      </c>
      <c r="K56" s="793"/>
    </row>
    <row r="57" spans="1:10" ht="12.75">
      <c r="A57" t="s">
        <v>514</v>
      </c>
      <c r="B57" s="808"/>
      <c r="C57" s="835" t="s">
        <v>516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527</v>
      </c>
      <c r="C58" s="811" t="s">
        <v>522</v>
      </c>
      <c r="D58" s="808" t="s">
        <v>517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524</v>
      </c>
      <c r="L58">
        <v>4.5</v>
      </c>
    </row>
    <row r="59" spans="2:12" ht="38.25">
      <c r="B59" s="808" t="s">
        <v>528</v>
      </c>
      <c r="C59" s="811" t="s">
        <v>537</v>
      </c>
      <c r="D59" s="808" t="s">
        <v>519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523</v>
      </c>
      <c r="L59">
        <v>3.4</v>
      </c>
    </row>
    <row r="60" spans="2:12" ht="12.75">
      <c r="B60" s="808" t="s">
        <v>529</v>
      </c>
      <c r="C60" s="811" t="s">
        <v>520</v>
      </c>
      <c r="D60" s="808" t="s">
        <v>521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530</v>
      </c>
      <c r="C61" s="811" t="s">
        <v>525</v>
      </c>
      <c r="D61" s="808" t="s">
        <v>526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532</v>
      </c>
      <c r="C62" s="811" t="s">
        <v>531</v>
      </c>
      <c r="D62" s="808" t="s">
        <v>165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538</v>
      </c>
      <c r="C63" s="811" t="s">
        <v>539</v>
      </c>
      <c r="D63" s="808" t="s">
        <v>535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536</v>
      </c>
      <c r="L63">
        <v>5.3</v>
      </c>
    </row>
    <row r="64" spans="2:11" ht="12.75">
      <c r="B64" s="808" t="s">
        <v>533</v>
      </c>
      <c r="C64" s="811" t="s">
        <v>534</v>
      </c>
      <c r="D64" s="808" t="s">
        <v>535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542</v>
      </c>
      <c r="C65" s="811" t="s">
        <v>546</v>
      </c>
      <c r="D65" s="808" t="s">
        <v>541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540</v>
      </c>
      <c r="C66" s="811" t="s">
        <v>547</v>
      </c>
      <c r="D66" s="808" t="s">
        <v>541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545</v>
      </c>
      <c r="C67" s="810" t="s">
        <v>543</v>
      </c>
      <c r="D67" s="808" t="s">
        <v>544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736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548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549</v>
      </c>
      <c r="C70" s="810" t="s">
        <v>550</v>
      </c>
      <c r="D70" s="808" t="s">
        <v>551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552</v>
      </c>
      <c r="D71" s="808" t="s">
        <v>563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553</v>
      </c>
      <c r="D72" s="808" t="s">
        <v>569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554</v>
      </c>
      <c r="C73" s="810" t="s">
        <v>555</v>
      </c>
      <c r="D73" s="808" t="s">
        <v>519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556</v>
      </c>
      <c r="D74" s="808" t="s">
        <v>519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557</v>
      </c>
      <c r="C75" s="810" t="s">
        <v>558</v>
      </c>
      <c r="D75" s="808" t="s">
        <v>560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559</v>
      </c>
      <c r="D76" s="808" t="s">
        <v>560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561</v>
      </c>
      <c r="C77" s="810" t="s">
        <v>562</v>
      </c>
      <c r="D77" s="808" t="s">
        <v>563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564</v>
      </c>
      <c r="C78" s="810" t="s">
        <v>566</v>
      </c>
      <c r="D78" s="808" t="s">
        <v>565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700</v>
      </c>
      <c r="D79" s="808" t="s">
        <v>551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567</v>
      </c>
      <c r="C80" s="810" t="s">
        <v>568</v>
      </c>
      <c r="D80" s="808" t="s">
        <v>317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572</v>
      </c>
      <c r="C81" s="810" t="s">
        <v>570</v>
      </c>
      <c r="D81" s="808" t="s">
        <v>571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654</v>
      </c>
      <c r="C83" s="802" t="s">
        <v>640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641</v>
      </c>
      <c r="D84" s="797" t="s">
        <v>655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656</v>
      </c>
      <c r="D85" s="797" t="s">
        <v>607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657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658</v>
      </c>
      <c r="D87" s="797" t="s">
        <v>659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691</v>
      </c>
      <c r="D88" s="797"/>
      <c r="E88" s="797"/>
      <c r="F88" s="797"/>
      <c r="G88" s="797"/>
      <c r="H88" s="797"/>
      <c r="I88" s="880">
        <f>I84+I85</f>
        <v>93.9625330573366</v>
      </c>
      <c r="J88" s="800"/>
      <c r="K88" s="937"/>
      <c r="L88" s="917"/>
      <c r="M88" s="917"/>
      <c r="N88" s="917"/>
    </row>
    <row r="89" spans="2:14" ht="12.75">
      <c r="B89" s="797"/>
      <c r="C89" s="802" t="s">
        <v>692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37"/>
      <c r="L89" s="917"/>
      <c r="M89" s="917"/>
      <c r="N89" s="917"/>
    </row>
    <row r="90" spans="2:12" ht="12.75">
      <c r="B90" s="797"/>
      <c r="C90" s="797" t="s">
        <v>693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37" t="s">
        <v>737</v>
      </c>
      <c r="L90" s="917"/>
    </row>
    <row r="91" spans="2:11" ht="12.75">
      <c r="B91" s="797"/>
      <c r="C91" s="834" t="s">
        <v>694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699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702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574</v>
      </c>
      <c r="C95" s="810" t="s">
        <v>573</v>
      </c>
      <c r="D95" s="808"/>
      <c r="E95" s="808"/>
      <c r="F95" s="808"/>
      <c r="G95" s="808"/>
      <c r="H95" s="808"/>
      <c r="I95" s="808"/>
      <c r="J95" s="808"/>
      <c r="L95" s="793" t="s">
        <v>645</v>
      </c>
      <c r="M95" s="793" t="s">
        <v>647</v>
      </c>
    </row>
    <row r="96" spans="2:13" ht="12.75">
      <c r="B96" s="808"/>
      <c r="C96" s="810" t="s">
        <v>576</v>
      </c>
      <c r="D96" s="808" t="s">
        <v>575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646</v>
      </c>
      <c r="M96" t="s">
        <v>648</v>
      </c>
    </row>
    <row r="97" spans="2:13" ht="12.75">
      <c r="B97" s="808"/>
      <c r="C97" s="810" t="s">
        <v>577</v>
      </c>
      <c r="D97" s="808" t="s">
        <v>575</v>
      </c>
      <c r="E97" s="808"/>
      <c r="F97" s="808"/>
      <c r="G97" s="808"/>
      <c r="H97" s="808">
        <v>0.54</v>
      </c>
      <c r="I97" s="808"/>
      <c r="J97" s="808"/>
      <c r="L97" t="s">
        <v>544</v>
      </c>
      <c r="M97" t="s">
        <v>649</v>
      </c>
    </row>
    <row r="98" spans="2:13" ht="12.75">
      <c r="B98" s="808"/>
      <c r="C98" s="810" t="s">
        <v>650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651</v>
      </c>
    </row>
    <row r="99" spans="2:12" ht="51">
      <c r="B99" s="808" t="s">
        <v>578</v>
      </c>
      <c r="C99" s="810" t="s">
        <v>579</v>
      </c>
      <c r="D99" s="808" t="s">
        <v>580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653</v>
      </c>
    </row>
    <row r="100" spans="2:12" ht="76.5">
      <c r="B100" s="808" t="s">
        <v>581</v>
      </c>
      <c r="C100" s="810" t="s">
        <v>582</v>
      </c>
      <c r="D100" s="811" t="s">
        <v>583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652</v>
      </c>
    </row>
    <row r="101" spans="2:11" ht="38.25">
      <c r="B101" s="808" t="s">
        <v>584</v>
      </c>
      <c r="C101" s="810" t="s">
        <v>585</v>
      </c>
      <c r="D101" s="808" t="s">
        <v>586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588</v>
      </c>
      <c r="C102" s="810" t="s">
        <v>587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630</v>
      </c>
    </row>
    <row r="103" spans="2:12" ht="89.25">
      <c r="B103" s="808" t="s">
        <v>589</v>
      </c>
      <c r="C103" s="810" t="s">
        <v>590</v>
      </c>
      <c r="D103" s="808" t="s">
        <v>571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642</v>
      </c>
    </row>
    <row r="104" spans="2:12" ht="25.5">
      <c r="B104" s="808" t="s">
        <v>593</v>
      </c>
      <c r="C104" s="810" t="s">
        <v>591</v>
      </c>
      <c r="D104" s="808" t="s">
        <v>592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631</v>
      </c>
    </row>
    <row r="105" spans="2:12" ht="76.5">
      <c r="B105" s="808" t="s">
        <v>594</v>
      </c>
      <c r="C105" s="812" t="s">
        <v>669</v>
      </c>
      <c r="D105" s="813" t="s">
        <v>592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643</v>
      </c>
    </row>
    <row r="106" spans="2:12" ht="12.75">
      <c r="B106" s="808" t="s">
        <v>670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664</v>
      </c>
      <c r="D107" s="813" t="s">
        <v>663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665</v>
      </c>
      <c r="D108" s="813" t="s">
        <v>661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597</v>
      </c>
      <c r="C109" s="810" t="s">
        <v>595</v>
      </c>
      <c r="D109" s="808" t="s">
        <v>596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600</v>
      </c>
      <c r="C110" s="810" t="s">
        <v>598</v>
      </c>
      <c r="D110" s="808" t="s">
        <v>599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603</v>
      </c>
      <c r="C111" s="810" t="s">
        <v>601</v>
      </c>
      <c r="D111" s="808" t="s">
        <v>602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606</v>
      </c>
      <c r="C112" s="810" t="s">
        <v>604</v>
      </c>
      <c r="D112" s="808" t="s">
        <v>605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637</v>
      </c>
    </row>
    <row r="113" spans="2:12" ht="25.5">
      <c r="B113" s="808" t="s">
        <v>606</v>
      </c>
      <c r="C113" s="810" t="s">
        <v>608</v>
      </c>
      <c r="D113" s="808" t="s">
        <v>607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636</v>
      </c>
    </row>
    <row r="114" spans="2:12" ht="12.75">
      <c r="B114" s="808"/>
      <c r="C114" s="810" t="s">
        <v>609</v>
      </c>
      <c r="D114" s="808"/>
      <c r="E114" s="808"/>
      <c r="F114" s="808"/>
      <c r="G114" s="808"/>
      <c r="H114" s="808">
        <v>1.4</v>
      </c>
      <c r="I114" s="808"/>
      <c r="J114" s="808"/>
      <c r="L114" t="s">
        <v>636</v>
      </c>
    </row>
    <row r="115" spans="2:12" ht="25.5">
      <c r="B115" s="808"/>
      <c r="C115" s="810" t="s">
        <v>610</v>
      </c>
      <c r="D115" s="808"/>
      <c r="E115" s="808"/>
      <c r="F115" s="808"/>
      <c r="G115" s="808"/>
      <c r="H115" s="808">
        <v>0.15</v>
      </c>
      <c r="I115" s="808"/>
      <c r="J115" s="808"/>
      <c r="L115" t="s">
        <v>635</v>
      </c>
    </row>
    <row r="116" spans="2:12" ht="38.25">
      <c r="B116" s="808" t="s">
        <v>638</v>
      </c>
      <c r="C116" s="810" t="s">
        <v>639</v>
      </c>
      <c r="D116" s="808" t="s">
        <v>592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633</v>
      </c>
    </row>
    <row r="117" spans="2:12" ht="12.75">
      <c r="B117" s="808"/>
      <c r="C117" s="810" t="s">
        <v>660</v>
      </c>
      <c r="D117" s="808" t="s">
        <v>592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611</v>
      </c>
      <c r="C118" s="810" t="s">
        <v>612</v>
      </c>
      <c r="D118" s="808" t="s">
        <v>613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634</v>
      </c>
    </row>
    <row r="119" spans="2:11" ht="25.5">
      <c r="B119" s="808" t="s">
        <v>614</v>
      </c>
      <c r="C119" s="812" t="s">
        <v>615</v>
      </c>
      <c r="D119" s="813" t="s">
        <v>592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616</v>
      </c>
      <c r="D120" s="811" t="s">
        <v>644</v>
      </c>
      <c r="E120" s="808"/>
      <c r="F120" s="808">
        <v>0.0375</v>
      </c>
      <c r="G120" s="808"/>
      <c r="H120" s="808"/>
      <c r="I120" s="808"/>
      <c r="J120" s="808"/>
      <c r="L120" s="793" t="s">
        <v>629</v>
      </c>
    </row>
    <row r="121" spans="2:12" ht="12.75">
      <c r="B121" s="808" t="s">
        <v>670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660</v>
      </c>
      <c r="D122" s="812" t="s">
        <v>662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617</v>
      </c>
      <c r="C123" s="812" t="s">
        <v>668</v>
      </c>
      <c r="D123" s="812" t="s">
        <v>618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628</v>
      </c>
      <c r="M123" s="793" t="s">
        <v>632</v>
      </c>
    </row>
    <row r="124" spans="2:13" ht="12.75">
      <c r="B124" s="808" t="s">
        <v>670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660</v>
      </c>
      <c r="D125" s="812" t="s">
        <v>661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671</v>
      </c>
      <c r="C126" s="812" t="s">
        <v>672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619</v>
      </c>
      <c r="D127" s="808" t="s">
        <v>620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622</v>
      </c>
      <c r="C128" s="810" t="s">
        <v>621</v>
      </c>
      <c r="D128" s="808" t="s">
        <v>592</v>
      </c>
      <c r="E128" s="808"/>
      <c r="F128" s="808"/>
      <c r="G128" s="808"/>
      <c r="H128" s="808">
        <v>2.38</v>
      </c>
      <c r="I128" s="808"/>
      <c r="J128" s="808"/>
      <c r="L128" s="793" t="s">
        <v>626</v>
      </c>
    </row>
    <row r="129" spans="2:13" ht="76.5">
      <c r="B129" s="808" t="s">
        <v>624</v>
      </c>
      <c r="C129" s="810" t="s">
        <v>623</v>
      </c>
      <c r="D129" s="808" t="s">
        <v>592</v>
      </c>
      <c r="E129" s="808"/>
      <c r="F129" s="808"/>
      <c r="G129" s="808"/>
      <c r="H129" s="808">
        <v>0.082</v>
      </c>
      <c r="I129" s="808"/>
      <c r="J129" s="808"/>
      <c r="L129" s="793" t="s">
        <v>625</v>
      </c>
      <c r="M129" s="793" t="s">
        <v>627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667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666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673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683</v>
      </c>
      <c r="C134" s="846" t="s">
        <v>674</v>
      </c>
      <c r="D134" s="813" t="s">
        <v>675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681</v>
      </c>
    </row>
    <row r="135" spans="2:12" ht="12.75">
      <c r="B135" s="813"/>
      <c r="C135" s="846" t="s">
        <v>676</v>
      </c>
      <c r="D135" s="846" t="s">
        <v>677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682</v>
      </c>
    </row>
    <row r="136" spans="2:12" ht="22.5">
      <c r="B136" s="813"/>
      <c r="C136" s="837" t="s">
        <v>678</v>
      </c>
      <c r="D136" s="813" t="s">
        <v>679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680</v>
      </c>
    </row>
    <row r="137" spans="2:12" ht="22.5">
      <c r="B137" s="813"/>
      <c r="C137" s="837" t="s">
        <v>686</v>
      </c>
      <c r="D137" s="813" t="s">
        <v>679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685</v>
      </c>
    </row>
    <row r="138" spans="2:12" ht="22.5">
      <c r="B138" s="813"/>
      <c r="C138" s="837" t="s">
        <v>687</v>
      </c>
      <c r="D138" s="813" t="s">
        <v>679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685</v>
      </c>
    </row>
    <row r="139" spans="2:12" ht="22.5">
      <c r="B139" s="813"/>
      <c r="C139" s="837" t="s">
        <v>684</v>
      </c>
      <c r="D139" s="813" t="s">
        <v>679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688</v>
      </c>
    </row>
    <row r="140" spans="2:10" ht="22.5">
      <c r="B140" s="813"/>
      <c r="C140" s="837" t="s">
        <v>689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711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712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713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714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715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716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76" t="s">
        <v>717</v>
      </c>
      <c r="D149" s="876"/>
      <c r="E149" s="876"/>
      <c r="F149" s="876"/>
      <c r="G149" s="876"/>
      <c r="H149" s="876"/>
      <c r="I149" s="876">
        <f>I144+I145+I146+I147+I148</f>
        <v>13550.476221357676</v>
      </c>
      <c r="J149" s="876"/>
    </row>
    <row r="150" spans="3:10" ht="12.75">
      <c r="C150" s="808" t="s">
        <v>718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719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76" t="s">
        <v>717</v>
      </c>
      <c r="D152" s="876"/>
      <c r="E152" s="876"/>
      <c r="F152" s="876"/>
      <c r="G152" s="876"/>
      <c r="H152" s="876"/>
      <c r="I152" s="877">
        <f>I150+I151</f>
        <v>1119.24</v>
      </c>
      <c r="J152" s="876"/>
    </row>
    <row r="153" spans="3:10" ht="12.75">
      <c r="C153" s="808" t="s">
        <v>720</v>
      </c>
      <c r="D153" s="808"/>
      <c r="E153" s="808"/>
      <c r="F153" s="808"/>
      <c r="G153" s="808"/>
      <c r="H153" s="808"/>
      <c r="I153" s="876">
        <f>I149+I152</f>
        <v>14669.716221357676</v>
      </c>
      <c r="J153" s="808"/>
    </row>
    <row r="154" spans="3:10" ht="12.75">
      <c r="C154" s="808" t="s">
        <v>725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727</v>
      </c>
      <c r="D155" s="808"/>
      <c r="E155" s="808"/>
      <c r="F155" s="808"/>
      <c r="G155" s="808"/>
      <c r="H155" s="808"/>
      <c r="I155" s="808" t="s">
        <v>728</v>
      </c>
      <c r="J155" s="808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6" t="s">
        <v>759</v>
      </c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</row>
    <row r="2" spans="1:15" ht="16.5" thickBot="1">
      <c r="A2" s="113"/>
      <c r="B2" s="131" t="s">
        <v>470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306</v>
      </c>
      <c r="F3" s="15" t="s">
        <v>150</v>
      </c>
      <c r="G3" s="220" t="s">
        <v>487</v>
      </c>
      <c r="H3" s="307" t="s">
        <v>283</v>
      </c>
      <c r="I3" s="954" t="s">
        <v>154</v>
      </c>
      <c r="J3" s="955"/>
      <c r="K3" s="955"/>
      <c r="L3" s="955"/>
      <c r="M3" s="220"/>
      <c r="N3" s="427" t="s">
        <v>190</v>
      </c>
      <c r="O3" s="952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275</v>
      </c>
      <c r="F4" s="306" t="s">
        <v>280</v>
      </c>
      <c r="G4" s="433" t="s">
        <v>275</v>
      </c>
      <c r="H4" s="434" t="s">
        <v>282</v>
      </c>
      <c r="I4" s="302"/>
      <c r="J4" s="303"/>
      <c r="K4" s="303"/>
      <c r="L4" s="303"/>
      <c r="M4" s="218"/>
      <c r="N4" s="311" t="s">
        <v>304</v>
      </c>
      <c r="O4" s="953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3" t="s">
        <v>293</v>
      </c>
      <c r="F7" s="753" t="s">
        <v>293</v>
      </c>
      <c r="G7" s="753" t="s">
        <v>293</v>
      </c>
      <c r="H7" s="774">
        <f>'сан содерж'!G19</f>
        <v>70936.82919971166</v>
      </c>
      <c r="I7" s="577" t="s">
        <v>293</v>
      </c>
      <c r="J7" s="577" t="s">
        <v>293</v>
      </c>
      <c r="K7" s="577" t="s">
        <v>293</v>
      </c>
      <c r="L7" s="577" t="s">
        <v>293</v>
      </c>
      <c r="M7" s="577" t="s">
        <v>293</v>
      </c>
      <c r="N7" s="577">
        <f>'Исход дан'!D$11</f>
        <v>9529.7</v>
      </c>
      <c r="O7" s="774">
        <f>ROUND(H7/N7/12,2)</f>
        <v>0.62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3" t="s">
        <v>293</v>
      </c>
      <c r="F8" s="753" t="s">
        <v>293</v>
      </c>
      <c r="G8" s="753" t="s">
        <v>293</v>
      </c>
      <c r="H8" s="615">
        <f>'сан содерж'!G42</f>
        <v>115347.79579827098</v>
      </c>
      <c r="I8" s="577" t="s">
        <v>293</v>
      </c>
      <c r="J8" s="577" t="s">
        <v>293</v>
      </c>
      <c r="K8" s="577" t="s">
        <v>293</v>
      </c>
      <c r="L8" s="577" t="s">
        <v>293</v>
      </c>
      <c r="M8" s="577" t="s">
        <v>293</v>
      </c>
      <c r="N8" s="577">
        <f>'Исход дан'!D$11</f>
        <v>9529.7</v>
      </c>
      <c r="O8" s="696">
        <f>ROUND(H8/N8/12,2)</f>
        <v>1.01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3" t="s">
        <v>293</v>
      </c>
      <c r="F9" s="753" t="s">
        <v>293</v>
      </c>
      <c r="G9" s="753" t="s">
        <v>293</v>
      </c>
      <c r="H9" s="615">
        <f>'сан содерж'!G54</f>
        <v>0</v>
      </c>
      <c r="I9" s="577" t="s">
        <v>293</v>
      </c>
      <c r="J9" s="577" t="s">
        <v>293</v>
      </c>
      <c r="K9" s="577" t="s">
        <v>293</v>
      </c>
      <c r="L9" s="577" t="s">
        <v>293</v>
      </c>
      <c r="M9" s="577" t="s">
        <v>293</v>
      </c>
      <c r="N9" s="577">
        <f>'Исход дан'!D$11</f>
        <v>9529.7</v>
      </c>
      <c r="O9" s="696">
        <f>ROUND(H9/N9/12,2)</f>
        <v>0</v>
      </c>
    </row>
    <row r="10" spans="1:15" s="117" customFormat="1" ht="40.5" customHeight="1" thickBot="1">
      <c r="A10" s="249" t="s">
        <v>74</v>
      </c>
      <c r="B10" s="424" t="s">
        <v>376</v>
      </c>
      <c r="C10" s="578"/>
      <c r="D10" s="577"/>
      <c r="E10" s="753" t="s">
        <v>293</v>
      </c>
      <c r="F10" s="753" t="s">
        <v>293</v>
      </c>
      <c r="G10" s="753" t="s">
        <v>293</v>
      </c>
      <c r="H10" s="615">
        <f>'сан содерж'!G59</f>
        <v>32033.268</v>
      </c>
      <c r="I10" s="577" t="s">
        <v>293</v>
      </c>
      <c r="J10" s="577" t="s">
        <v>293</v>
      </c>
      <c r="K10" s="577" t="s">
        <v>293</v>
      </c>
      <c r="L10" s="577" t="s">
        <v>293</v>
      </c>
      <c r="M10" s="577" t="s">
        <v>293</v>
      </c>
      <c r="N10" s="578">
        <f>'Исход дан'!D$11</f>
        <v>9529.7</v>
      </c>
      <c r="O10" s="700">
        <f>ROUND(H10/N10/12,2)</f>
        <v>0.28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218317.89299798265</v>
      </c>
      <c r="I11" s="582"/>
      <c r="J11" s="583"/>
      <c r="K11" s="583"/>
      <c r="L11" s="583"/>
      <c r="M11" s="584"/>
      <c r="N11" s="585">
        <f>'Исход дан'!D$11</f>
        <v>9529.7</v>
      </c>
      <c r="O11" s="776">
        <f>O7+O8+O10</f>
        <v>1.91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4"/>
      <c r="F12" s="755"/>
      <c r="G12" s="756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240</v>
      </c>
      <c r="D13" s="596"/>
      <c r="E13" s="757"/>
      <c r="F13" s="758"/>
      <c r="G13" s="759"/>
      <c r="H13" s="597">
        <v>12585</v>
      </c>
      <c r="I13" s="598"/>
      <c r="J13" s="599"/>
      <c r="K13" s="599"/>
      <c r="L13" s="599"/>
      <c r="M13" s="600"/>
      <c r="N13" s="577">
        <f>'Исход дан'!D$11</f>
        <v>9529.7</v>
      </c>
      <c r="O13" s="774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240</v>
      </c>
      <c r="D14" s="596"/>
      <c r="E14" s="757"/>
      <c r="F14" s="758"/>
      <c r="G14" s="759"/>
      <c r="H14" s="597"/>
      <c r="I14" s="598"/>
      <c r="J14" s="599"/>
      <c r="K14" s="599"/>
      <c r="L14" s="599"/>
      <c r="M14" s="600"/>
      <c r="N14" s="577">
        <f>'Исход дан'!D$11</f>
        <v>9529.7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240</v>
      </c>
      <c r="D15" s="596"/>
      <c r="E15" s="757"/>
      <c r="F15" s="758"/>
      <c r="G15" s="759"/>
      <c r="H15" s="597"/>
      <c r="I15" s="598"/>
      <c r="J15" s="599"/>
      <c r="K15" s="599"/>
      <c r="L15" s="599"/>
      <c r="M15" s="600"/>
      <c r="N15" s="577">
        <f>'Исход дан'!D$11</f>
        <v>9529.7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240</v>
      </c>
      <c r="D16" s="596"/>
      <c r="E16" s="757"/>
      <c r="F16" s="758"/>
      <c r="G16" s="759"/>
      <c r="H16" s="597"/>
      <c r="I16" s="598"/>
      <c r="J16" s="599"/>
      <c r="K16" s="599"/>
      <c r="L16" s="599"/>
      <c r="M16" s="600"/>
      <c r="N16" s="578">
        <f>'Исход дан'!D$11</f>
        <v>9529.7</v>
      </c>
      <c r="O16" s="700">
        <f>ROUND(H16/N16/12,2)</f>
        <v>0</v>
      </c>
    </row>
    <row r="17" spans="1:15" s="21" customFormat="1" ht="30" customHeight="1" thickBot="1">
      <c r="A17" s="347" t="s">
        <v>81</v>
      </c>
      <c r="B17" s="579" t="s">
        <v>281</v>
      </c>
      <c r="C17" s="580"/>
      <c r="D17" s="580"/>
      <c r="E17" s="601"/>
      <c r="F17" s="580"/>
      <c r="G17" s="581"/>
      <c r="H17" s="586">
        <f>SUM(H13:H16)</f>
        <v>12585</v>
      </c>
      <c r="I17" s="602"/>
      <c r="J17" s="603"/>
      <c r="K17" s="603"/>
      <c r="L17" s="603"/>
      <c r="M17" s="604"/>
      <c r="N17" s="585">
        <f>'Исход дан'!D$11</f>
        <v>9529.7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273</v>
      </c>
      <c r="E18" s="607"/>
      <c r="F18" s="606"/>
      <c r="G18" s="608"/>
      <c r="H18" s="807">
        <v>8008.3</v>
      </c>
      <c r="I18" s="609"/>
      <c r="J18" s="610"/>
      <c r="K18" s="611"/>
      <c r="L18" s="610"/>
      <c r="M18" s="612"/>
      <c r="N18" s="593">
        <f>'Исход дан'!D$11</f>
        <v>9529.7</v>
      </c>
      <c r="O18" s="790">
        <f>H18/N18/12</f>
        <v>0.07002931187060803</v>
      </c>
    </row>
    <row r="19" spans="1:17" s="95" customFormat="1" ht="33.75" customHeight="1">
      <c r="A19" s="121" t="s">
        <v>82</v>
      </c>
      <c r="B19" s="370" t="s">
        <v>65</v>
      </c>
      <c r="C19" s="614" t="s">
        <v>391</v>
      </c>
      <c r="D19" s="577" t="s">
        <v>272</v>
      </c>
      <c r="E19" s="760">
        <v>2.596</v>
      </c>
      <c r="F19" s="629">
        <v>36960</v>
      </c>
      <c r="G19" s="761">
        <v>1</v>
      </c>
      <c r="H19" s="820">
        <v>121217.8</v>
      </c>
      <c r="I19" s="616"/>
      <c r="J19" s="617"/>
      <c r="K19" s="617"/>
      <c r="L19" s="617"/>
      <c r="M19" s="618"/>
      <c r="N19" s="577">
        <f>'Исход дан'!D$11</f>
        <v>9529.7</v>
      </c>
      <c r="O19" s="789">
        <f>ROUND(H19/N19/12,2)</f>
        <v>1.06</v>
      </c>
      <c r="Q19" s="95" t="s">
        <v>765</v>
      </c>
    </row>
    <row r="20" spans="1:15" s="22" customFormat="1" ht="26.25" customHeight="1">
      <c r="A20" s="121" t="s">
        <v>156</v>
      </c>
      <c r="B20" s="370" t="s">
        <v>467</v>
      </c>
      <c r="C20" s="577" t="s">
        <v>483</v>
      </c>
      <c r="D20" s="577" t="s">
        <v>392</v>
      </c>
      <c r="E20" s="761">
        <v>0.26</v>
      </c>
      <c r="F20" s="753">
        <f>'Исход дан'!D11</f>
        <v>9529.7</v>
      </c>
      <c r="G20" s="762">
        <v>1</v>
      </c>
      <c r="H20" s="820">
        <f>E20*F20*G20*12</f>
        <v>29732.664000000004</v>
      </c>
      <c r="I20" s="616"/>
      <c r="J20" s="619"/>
      <c r="K20" s="617"/>
      <c r="L20" s="619"/>
      <c r="M20" s="618"/>
      <c r="N20" s="577">
        <f>'Исход дан'!D$11</f>
        <v>9529.7</v>
      </c>
      <c r="O20" s="696">
        <f>ROUND(H20/N20/12,3)</f>
        <v>0.26</v>
      </c>
    </row>
    <row r="21" spans="1:15" s="22" customFormat="1" ht="24.75" customHeight="1">
      <c r="A21" s="121" t="s">
        <v>157</v>
      </c>
      <c r="B21" s="370" t="s">
        <v>468</v>
      </c>
      <c r="C21" s="577" t="s">
        <v>483</v>
      </c>
      <c r="D21" s="577" t="s">
        <v>392</v>
      </c>
      <c r="E21" s="763">
        <v>0.12</v>
      </c>
      <c r="F21" s="753">
        <f>'Исход дан'!D11</f>
        <v>9529.7</v>
      </c>
      <c r="G21" s="761">
        <v>1</v>
      </c>
      <c r="H21" s="820">
        <f>E21*F21*G21*12</f>
        <v>13722.768</v>
      </c>
      <c r="I21" s="616"/>
      <c r="J21" s="619"/>
      <c r="K21" s="617"/>
      <c r="L21" s="619"/>
      <c r="M21" s="618"/>
      <c r="N21" s="577">
        <f>'Исход дан'!D$11</f>
        <v>9529.7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395</v>
      </c>
      <c r="C22" s="577" t="s">
        <v>483</v>
      </c>
      <c r="D22" s="577" t="s">
        <v>392</v>
      </c>
      <c r="E22" s="764">
        <v>0.16</v>
      </c>
      <c r="F22" s="765">
        <f>'Исход дан'!D11</f>
        <v>9529.7</v>
      </c>
      <c r="G22" s="766">
        <v>1</v>
      </c>
      <c r="H22" s="820">
        <f>E22*F22*G22*12</f>
        <v>18297.024</v>
      </c>
      <c r="I22" s="621"/>
      <c r="J22" s="622"/>
      <c r="K22" s="623"/>
      <c r="L22" s="622"/>
      <c r="M22" s="624"/>
      <c r="N22" s="578">
        <f>'Исход дан'!D$11</f>
        <v>9529.7</v>
      </c>
      <c r="O22" s="700">
        <f>ROUND(H22/N22/12,3)</f>
        <v>0.16</v>
      </c>
    </row>
    <row r="23" spans="1:15" s="21" customFormat="1" ht="28.5" customHeight="1" thickBot="1">
      <c r="A23" s="347" t="s">
        <v>89</v>
      </c>
      <c r="B23" s="579" t="s">
        <v>308</v>
      </c>
      <c r="C23" s="580"/>
      <c r="D23" s="580"/>
      <c r="E23" s="580"/>
      <c r="F23" s="580"/>
      <c r="G23" s="581"/>
      <c r="H23" s="586">
        <f>SUM(H18:H22)</f>
        <v>190978.55600000004</v>
      </c>
      <c r="I23" s="582"/>
      <c r="J23" s="583"/>
      <c r="K23" s="583"/>
      <c r="L23" s="583"/>
      <c r="M23" s="584"/>
      <c r="N23" s="585">
        <f>'Исход дан'!D$11</f>
        <v>9529.7</v>
      </c>
      <c r="O23" s="776">
        <f>ROUND(H23/N23/12,2)</f>
        <v>1.67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3" t="s">
        <v>293</v>
      </c>
      <c r="F24" s="753" t="s">
        <v>293</v>
      </c>
      <c r="G24" s="761" t="s">
        <v>293</v>
      </c>
      <c r="H24" s="689">
        <f>профраб!I24</f>
        <v>143596.52353829105</v>
      </c>
      <c r="I24" s="690"/>
      <c r="J24" s="691"/>
      <c r="K24" s="593"/>
      <c r="L24" s="691"/>
      <c r="M24" s="627"/>
      <c r="N24" s="593">
        <f>'Исход дан'!D$11</f>
        <v>9529.7</v>
      </c>
      <c r="O24" s="701">
        <f>ROUND(H24/N24/12,2)</f>
        <v>1.26</v>
      </c>
      <c r="P24" s="824"/>
      <c r="Q24" s="825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3" t="s">
        <v>293</v>
      </c>
      <c r="F25" s="753" t="s">
        <v>293</v>
      </c>
      <c r="G25" s="761" t="s">
        <v>293</v>
      </c>
      <c r="H25" s="615">
        <f>профраб!I38</f>
        <v>12072.650131542388</v>
      </c>
      <c r="I25" s="692"/>
      <c r="J25" s="693"/>
      <c r="K25" s="577"/>
      <c r="L25" s="693"/>
      <c r="M25" s="628"/>
      <c r="N25" s="577">
        <f>'Исход дан'!D$11</f>
        <v>9529.7</v>
      </c>
      <c r="O25" s="696">
        <f>ROUND(H25/N25/12,2)</f>
        <v>0.11</v>
      </c>
      <c r="P25" s="425"/>
    </row>
    <row r="26" spans="1:16" s="1" customFormat="1" ht="30" customHeight="1" thickBot="1">
      <c r="A26" s="249" t="s">
        <v>92</v>
      </c>
      <c r="B26" s="842" t="s">
        <v>708</v>
      </c>
      <c r="C26" s="629"/>
      <c r="D26" s="578"/>
      <c r="E26" s="629"/>
      <c r="F26" s="767"/>
      <c r="G26" s="768"/>
      <c r="H26" s="630">
        <v>244538</v>
      </c>
      <c r="I26" s="694"/>
      <c r="J26" s="695"/>
      <c r="K26" s="578"/>
      <c r="L26" s="695"/>
      <c r="M26" s="631"/>
      <c r="N26" s="578">
        <f>'Исход дан'!D$11</f>
        <v>9529.7</v>
      </c>
      <c r="O26" s="787">
        <f>ROUND(H26/N26/12,2)</f>
        <v>2.14</v>
      </c>
      <c r="P26" s="425"/>
    </row>
    <row r="27" spans="1:15" s="4" customFormat="1" ht="30" customHeight="1" thickBot="1">
      <c r="A27" s="347" t="s">
        <v>93</v>
      </c>
      <c r="B27" s="681" t="s">
        <v>404</v>
      </c>
      <c r="C27" s="580"/>
      <c r="D27" s="580"/>
      <c r="E27" s="580"/>
      <c r="F27" s="580"/>
      <c r="G27" s="581"/>
      <c r="H27" s="775">
        <f>SUM(H24:H26)</f>
        <v>400207.17366983346</v>
      </c>
      <c r="I27" s="582"/>
      <c r="J27" s="697"/>
      <c r="K27" s="583"/>
      <c r="L27" s="697"/>
      <c r="M27" s="682"/>
      <c r="N27" s="585">
        <f>'Исход дан'!D$11</f>
        <v>9529.7</v>
      </c>
      <c r="O27" s="776">
        <f>ROUND(H27/N27/12,2)</f>
        <v>3.5</v>
      </c>
    </row>
    <row r="28" spans="1:15" s="4" customFormat="1" ht="39" customHeight="1">
      <c r="A28" s="552" t="s">
        <v>94</v>
      </c>
      <c r="B28" s="553" t="s">
        <v>481</v>
      </c>
      <c r="C28" s="633" t="s">
        <v>482</v>
      </c>
      <c r="D28" s="634"/>
      <c r="E28" s="769"/>
      <c r="F28" s="769"/>
      <c r="G28" s="770"/>
      <c r="H28" s="698">
        <f>E28*F28*G28</f>
        <v>0</v>
      </c>
      <c r="I28" s="635"/>
      <c r="J28" s="636"/>
      <c r="K28" s="637"/>
      <c r="L28" s="636"/>
      <c r="M28" s="638"/>
      <c r="N28" s="593">
        <f>'Исход дан'!D$11</f>
        <v>9529.7</v>
      </c>
      <c r="O28" s="701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41" t="s">
        <v>707</v>
      </c>
      <c r="C29" s="430" t="s">
        <v>255</v>
      </c>
      <c r="D29" s="566"/>
      <c r="E29" s="755"/>
      <c r="F29" s="755"/>
      <c r="G29" s="771"/>
      <c r="H29" s="699">
        <v>15000</v>
      </c>
      <c r="I29" s="639"/>
      <c r="J29" s="640"/>
      <c r="K29" s="641"/>
      <c r="L29" s="640"/>
      <c r="M29" s="565"/>
      <c r="N29" s="577">
        <f>'Исход дан'!D$11</f>
        <v>9529.7</v>
      </c>
      <c r="O29" s="696">
        <f t="shared" si="0"/>
        <v>0.13</v>
      </c>
    </row>
    <row r="30" spans="1:15" s="21" customFormat="1" ht="15.75" customHeight="1">
      <c r="A30" s="121" t="s">
        <v>96</v>
      </c>
      <c r="B30" s="625" t="s">
        <v>393</v>
      </c>
      <c r="C30" s="593" t="s">
        <v>464</v>
      </c>
      <c r="D30" s="577" t="s">
        <v>392</v>
      </c>
      <c r="E30" s="753">
        <v>0.31</v>
      </c>
      <c r="F30" s="753">
        <f>'Исход дан'!D11</f>
        <v>9529.7</v>
      </c>
      <c r="G30" s="761">
        <v>12</v>
      </c>
      <c r="H30" s="699">
        <f>E30*F30*G30</f>
        <v>35450.484000000004</v>
      </c>
      <c r="I30" s="642"/>
      <c r="J30" s="643"/>
      <c r="K30" s="644"/>
      <c r="L30" s="643"/>
      <c r="M30" s="645"/>
      <c r="N30" s="577">
        <f>'Исход дан'!D$11</f>
        <v>9529.7</v>
      </c>
      <c r="O30" s="774">
        <f t="shared" si="0"/>
        <v>0.31</v>
      </c>
    </row>
    <row r="31" spans="1:15" s="21" customFormat="1" ht="35.25" customHeight="1">
      <c r="A31" s="124" t="s">
        <v>159</v>
      </c>
      <c r="B31" s="625" t="s">
        <v>402</v>
      </c>
      <c r="C31" s="626" t="s">
        <v>465</v>
      </c>
      <c r="D31" s="577" t="s">
        <v>392</v>
      </c>
      <c r="E31" s="772">
        <v>1.96</v>
      </c>
      <c r="F31" s="772">
        <f>'Исход дан'!D11</f>
        <v>9529.7</v>
      </c>
      <c r="G31" s="773">
        <v>12</v>
      </c>
      <c r="H31" s="699">
        <f>E31*F31*G31</f>
        <v>224138.544</v>
      </c>
      <c r="I31" s="642"/>
      <c r="J31" s="643"/>
      <c r="K31" s="644"/>
      <c r="L31" s="643"/>
      <c r="M31" s="645"/>
      <c r="N31" s="577">
        <f>'Исход дан'!D$11</f>
        <v>9529.7</v>
      </c>
      <c r="O31" s="696">
        <f t="shared" si="0"/>
        <v>1.96</v>
      </c>
    </row>
    <row r="32" spans="1:15" s="21" customFormat="1" ht="27" customHeight="1">
      <c r="A32" s="429" t="s">
        <v>160</v>
      </c>
      <c r="B32" s="620" t="s">
        <v>403</v>
      </c>
      <c r="C32" s="646" t="s">
        <v>466</v>
      </c>
      <c r="D32" s="578" t="s">
        <v>392</v>
      </c>
      <c r="E32" s="765">
        <v>0.21</v>
      </c>
      <c r="F32" s="765">
        <f>'Исход дан'!D11</f>
        <v>9529.7</v>
      </c>
      <c r="G32" s="766">
        <v>12</v>
      </c>
      <c r="H32" s="699">
        <f>E32*F32*G32</f>
        <v>24014.844</v>
      </c>
      <c r="I32" s="647"/>
      <c r="J32" s="648"/>
      <c r="K32" s="649"/>
      <c r="L32" s="648"/>
      <c r="M32" s="650"/>
      <c r="N32" s="577">
        <f>'Исход дан'!D$11</f>
        <v>9529.7</v>
      </c>
      <c r="O32" s="774">
        <f t="shared" si="0"/>
        <v>0.21</v>
      </c>
    </row>
    <row r="33" spans="1:15" s="21" customFormat="1" ht="15.75" customHeight="1" thickBot="1">
      <c r="A33" s="249" t="s">
        <v>309</v>
      </c>
      <c r="B33" s="424" t="s">
        <v>469</v>
      </c>
      <c r="C33" s="851" t="s">
        <v>196</v>
      </c>
      <c r="D33" s="578" t="s">
        <v>392</v>
      </c>
      <c r="E33" s="629"/>
      <c r="F33" s="629"/>
      <c r="G33" s="768"/>
      <c r="H33" s="873">
        <v>0</v>
      </c>
      <c r="I33" s="647"/>
      <c r="J33" s="648"/>
      <c r="K33" s="649"/>
      <c r="L33" s="648"/>
      <c r="M33" s="650"/>
      <c r="N33" s="578">
        <f>'Исход дан'!D$11</f>
        <v>9529.7</v>
      </c>
      <c r="O33" s="700">
        <f t="shared" si="0"/>
        <v>0</v>
      </c>
    </row>
    <row r="34" spans="1:16" s="5" customFormat="1" ht="30" customHeight="1" thickBot="1">
      <c r="A34" s="366" t="s">
        <v>310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1120692.4946678162</v>
      </c>
      <c r="I34" s="654"/>
      <c r="J34" s="655"/>
      <c r="K34" s="655"/>
      <c r="L34" s="655"/>
      <c r="M34" s="656"/>
      <c r="N34" s="632">
        <f>'Исход дан'!D$11</f>
        <v>9529.7</v>
      </c>
      <c r="O34" s="896">
        <f>ROUND(H34/N34/12,2)</f>
        <v>9.8</v>
      </c>
      <c r="P34" s="369"/>
    </row>
    <row r="35" spans="1:15" s="1" customFormat="1" ht="33.75" hidden="1">
      <c r="A35" s="124" t="s">
        <v>336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337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9"/>
      <c r="I38" s="679"/>
      <c r="J38" s="680"/>
      <c r="K38" s="679"/>
      <c r="L38" s="680"/>
      <c r="M38" s="678"/>
      <c r="N38" s="679"/>
      <c r="O38" s="849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2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52">
      <selection activeCell="E58" sqref="E58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7" t="s">
        <v>771</v>
      </c>
      <c r="B1" s="957"/>
      <c r="C1" s="957"/>
      <c r="D1" s="957"/>
      <c r="E1" s="957"/>
    </row>
    <row r="2" spans="1:5" ht="22.5" customHeight="1">
      <c r="A2" s="843" t="s">
        <v>197</v>
      </c>
      <c r="B2" s="844" t="s">
        <v>198</v>
      </c>
      <c r="C2" s="844" t="s">
        <v>199</v>
      </c>
      <c r="D2" s="844" t="s">
        <v>478</v>
      </c>
      <c r="E2" s="845" t="s">
        <v>477</v>
      </c>
    </row>
    <row r="3" spans="1:5" ht="10.5" customHeight="1">
      <c r="A3" s="778"/>
      <c r="B3" s="892" t="s">
        <v>257</v>
      </c>
      <c r="C3" s="777"/>
      <c r="D3" s="777"/>
      <c r="E3" s="893">
        <f>'Исход дан'!D11</f>
        <v>9529.7</v>
      </c>
    </row>
    <row r="4" spans="1:5" ht="12" customHeight="1">
      <c r="A4" s="961" t="s">
        <v>339</v>
      </c>
      <c r="B4" s="962"/>
      <c r="C4" s="962"/>
      <c r="D4" s="962"/>
      <c r="E4" s="963"/>
    </row>
    <row r="5" spans="1:7" s="260" customFormat="1" ht="10.5" customHeight="1">
      <c r="A5" s="854" t="s">
        <v>200</v>
      </c>
      <c r="B5" s="855" t="s">
        <v>201</v>
      </c>
      <c r="C5" s="856"/>
      <c r="D5" s="857">
        <v>75334.9</v>
      </c>
      <c r="E5" s="860">
        <f>ROUND(D5/E$3/12,2)</f>
        <v>0.66</v>
      </c>
      <c r="G5" s="343"/>
    </row>
    <row r="6" spans="1:7" ht="22.5" customHeight="1">
      <c r="A6" s="854" t="s">
        <v>202</v>
      </c>
      <c r="B6" s="859" t="s">
        <v>746</v>
      </c>
      <c r="C6" s="856" t="s">
        <v>203</v>
      </c>
      <c r="D6" s="857"/>
      <c r="E6" s="860"/>
      <c r="F6" s="260"/>
      <c r="G6" s="260"/>
    </row>
    <row r="7" spans="1:7" ht="11.25" customHeight="1">
      <c r="A7" s="854" t="s">
        <v>345</v>
      </c>
      <c r="B7" s="855" t="s">
        <v>753</v>
      </c>
      <c r="C7" s="856" t="s">
        <v>210</v>
      </c>
      <c r="D7" s="857"/>
      <c r="E7" s="860"/>
      <c r="F7" s="260"/>
      <c r="G7" s="260"/>
    </row>
    <row r="8" spans="1:7" ht="11.25" customHeight="1">
      <c r="A8" s="854" t="s">
        <v>346</v>
      </c>
      <c r="B8" s="855" t="s">
        <v>754</v>
      </c>
      <c r="C8" s="856" t="s">
        <v>210</v>
      </c>
      <c r="D8" s="857"/>
      <c r="E8" s="860"/>
      <c r="F8" s="260"/>
      <c r="G8" s="260"/>
    </row>
    <row r="9" spans="1:7" ht="11.25" customHeight="1">
      <c r="A9" s="854" t="s">
        <v>347</v>
      </c>
      <c r="B9" s="859" t="s">
        <v>259</v>
      </c>
      <c r="C9" s="856" t="s">
        <v>206</v>
      </c>
      <c r="D9" s="857"/>
      <c r="E9" s="860"/>
      <c r="F9" s="260"/>
      <c r="G9" s="260"/>
    </row>
    <row r="10" spans="1:7" ht="10.5" customHeight="1">
      <c r="A10" s="854" t="s">
        <v>348</v>
      </c>
      <c r="B10" s="855" t="s">
        <v>205</v>
      </c>
      <c r="C10" s="856" t="s">
        <v>206</v>
      </c>
      <c r="D10" s="857"/>
      <c r="E10" s="860"/>
      <c r="F10" s="260"/>
      <c r="G10" s="260"/>
    </row>
    <row r="11" spans="1:7" ht="11.25" customHeight="1">
      <c r="A11" s="854" t="s">
        <v>349</v>
      </c>
      <c r="B11" s="855" t="s">
        <v>207</v>
      </c>
      <c r="C11" s="856" t="s">
        <v>206</v>
      </c>
      <c r="D11" s="857"/>
      <c r="E11" s="860"/>
      <c r="F11" s="260"/>
      <c r="G11" s="260"/>
    </row>
    <row r="12" spans="1:7" ht="36" customHeight="1">
      <c r="A12" s="854" t="s">
        <v>747</v>
      </c>
      <c r="B12" s="859" t="s">
        <v>208</v>
      </c>
      <c r="C12" s="856" t="s">
        <v>204</v>
      </c>
      <c r="D12" s="857"/>
      <c r="E12" s="860"/>
      <c r="F12" s="260"/>
      <c r="G12" s="260"/>
    </row>
    <row r="13" spans="1:7" ht="24.75" customHeight="1">
      <c r="A13" s="854" t="s">
        <v>755</v>
      </c>
      <c r="B13" s="855" t="s">
        <v>209</v>
      </c>
      <c r="C13" s="856" t="s">
        <v>210</v>
      </c>
      <c r="D13" s="857"/>
      <c r="E13" s="860"/>
      <c r="F13" s="260"/>
      <c r="G13" s="260"/>
    </row>
    <row r="14" spans="1:7" ht="11.25" customHeight="1">
      <c r="A14" s="958" t="s">
        <v>475</v>
      </c>
      <c r="B14" s="959"/>
      <c r="C14" s="959"/>
      <c r="D14" s="959"/>
      <c r="E14" s="960"/>
      <c r="F14" s="260"/>
      <c r="G14" s="260"/>
    </row>
    <row r="15" spans="1:7" s="260" customFormat="1" ht="14.25">
      <c r="A15" s="854" t="s">
        <v>350</v>
      </c>
      <c r="B15" s="855" t="s">
        <v>211</v>
      </c>
      <c r="C15" s="856"/>
      <c r="D15" s="857">
        <v>122499.36</v>
      </c>
      <c r="E15" s="858">
        <f>ROUND(D15/E$3/12,2)</f>
        <v>1.07</v>
      </c>
      <c r="F15" s="354"/>
      <c r="G15" s="343"/>
    </row>
    <row r="16" spans="1:7" s="259" customFormat="1" ht="12" customHeight="1">
      <c r="A16" s="854" t="s">
        <v>66</v>
      </c>
      <c r="B16" s="889" t="s">
        <v>212</v>
      </c>
      <c r="C16" s="856"/>
      <c r="D16" s="857"/>
      <c r="E16" s="858"/>
      <c r="F16" s="260"/>
      <c r="G16" s="260"/>
    </row>
    <row r="17" spans="1:7" ht="24.75" customHeight="1">
      <c r="A17" s="854" t="s">
        <v>213</v>
      </c>
      <c r="B17" s="855" t="s">
        <v>214</v>
      </c>
      <c r="C17" s="856" t="s">
        <v>215</v>
      </c>
      <c r="D17" s="871"/>
      <c r="E17" s="855"/>
      <c r="F17" s="260"/>
      <c r="G17" s="260"/>
    </row>
    <row r="18" spans="1:7" ht="22.5" customHeight="1">
      <c r="A18" s="854" t="s">
        <v>216</v>
      </c>
      <c r="B18" s="855" t="s">
        <v>217</v>
      </c>
      <c r="C18" s="856" t="s">
        <v>218</v>
      </c>
      <c r="D18" s="871"/>
      <c r="E18" s="855"/>
      <c r="F18" s="260"/>
      <c r="G18" s="260"/>
    </row>
    <row r="19" spans="1:7" ht="24">
      <c r="A19" s="854" t="s">
        <v>219</v>
      </c>
      <c r="B19" s="855" t="s">
        <v>220</v>
      </c>
      <c r="C19" s="886" t="s">
        <v>221</v>
      </c>
      <c r="D19" s="871"/>
      <c r="E19" s="855"/>
      <c r="F19" s="260"/>
      <c r="G19" s="260"/>
    </row>
    <row r="20" spans="1:7" ht="34.5" customHeight="1">
      <c r="A20" s="854" t="s">
        <v>222</v>
      </c>
      <c r="B20" s="855" t="s">
        <v>223</v>
      </c>
      <c r="C20" s="856" t="s">
        <v>258</v>
      </c>
      <c r="D20" s="871"/>
      <c r="E20" s="855"/>
      <c r="F20" s="260"/>
      <c r="G20" s="260"/>
    </row>
    <row r="21" spans="1:7" ht="14.25" customHeight="1">
      <c r="A21" s="854" t="s">
        <v>224</v>
      </c>
      <c r="B21" s="855" t="s">
        <v>225</v>
      </c>
      <c r="C21" s="856" t="s">
        <v>226</v>
      </c>
      <c r="D21" s="871"/>
      <c r="E21" s="855"/>
      <c r="F21" s="260"/>
      <c r="G21" s="260"/>
    </row>
    <row r="22" spans="1:7" ht="12" customHeight="1">
      <c r="A22" s="854" t="s">
        <v>227</v>
      </c>
      <c r="B22" s="855" t="s">
        <v>228</v>
      </c>
      <c r="C22" s="856" t="s">
        <v>229</v>
      </c>
      <c r="D22" s="871"/>
      <c r="E22" s="855"/>
      <c r="F22" s="260"/>
      <c r="G22" s="260"/>
    </row>
    <row r="23" spans="1:7" ht="12" customHeight="1">
      <c r="A23" s="854" t="s">
        <v>744</v>
      </c>
      <c r="B23" s="855" t="s">
        <v>231</v>
      </c>
      <c r="C23" s="856" t="s">
        <v>203</v>
      </c>
      <c r="D23" s="857"/>
      <c r="E23" s="858"/>
      <c r="F23" s="260"/>
      <c r="G23" s="260"/>
    </row>
    <row r="24" spans="1:7" s="259" customFormat="1" ht="11.25" customHeight="1">
      <c r="A24" s="854" t="s">
        <v>67</v>
      </c>
      <c r="B24" s="889" t="s">
        <v>232</v>
      </c>
      <c r="C24" s="856"/>
      <c r="D24" s="857"/>
      <c r="E24" s="858"/>
      <c r="F24" s="260"/>
      <c r="G24" s="260"/>
    </row>
    <row r="25" spans="1:7" ht="12" customHeight="1">
      <c r="A25" s="854" t="s">
        <v>493</v>
      </c>
      <c r="B25" s="855" t="s">
        <v>758</v>
      </c>
      <c r="C25" s="856" t="s">
        <v>230</v>
      </c>
      <c r="D25" s="871"/>
      <c r="E25" s="855"/>
      <c r="F25" s="260"/>
      <c r="G25" s="260"/>
    </row>
    <row r="26" spans="1:7" ht="24">
      <c r="A26" s="854" t="s">
        <v>233</v>
      </c>
      <c r="B26" s="855" t="s">
        <v>234</v>
      </c>
      <c r="C26" s="856" t="s">
        <v>235</v>
      </c>
      <c r="D26" s="857"/>
      <c r="E26" s="856"/>
      <c r="F26" s="260"/>
      <c r="G26" s="260"/>
    </row>
    <row r="27" spans="1:7" ht="25.5" customHeight="1">
      <c r="A27" s="854" t="s">
        <v>236</v>
      </c>
      <c r="B27" s="855" t="s">
        <v>237</v>
      </c>
      <c r="C27" s="856" t="s">
        <v>238</v>
      </c>
      <c r="D27" s="871"/>
      <c r="E27" s="855"/>
      <c r="F27" s="260"/>
      <c r="G27" s="260"/>
    </row>
    <row r="28" spans="1:7" ht="15" customHeight="1">
      <c r="A28" s="854" t="s">
        <v>256</v>
      </c>
      <c r="B28" s="855" t="s">
        <v>721</v>
      </c>
      <c r="C28" s="856" t="s">
        <v>239</v>
      </c>
      <c r="D28" s="857"/>
      <c r="E28" s="858"/>
      <c r="F28" s="260"/>
      <c r="G28" s="260"/>
    </row>
    <row r="29" spans="1:7" ht="11.25" customHeight="1">
      <c r="A29" s="854" t="s">
        <v>745</v>
      </c>
      <c r="B29" s="855" t="s">
        <v>231</v>
      </c>
      <c r="C29" s="856" t="s">
        <v>203</v>
      </c>
      <c r="D29" s="857"/>
      <c r="E29" s="858"/>
      <c r="F29" s="260"/>
      <c r="G29" s="260"/>
    </row>
    <row r="30" spans="1:7" s="261" customFormat="1" ht="12.75" customHeight="1">
      <c r="A30" s="854" t="s">
        <v>68</v>
      </c>
      <c r="B30" s="861" t="s">
        <v>376</v>
      </c>
      <c r="C30" s="856" t="s">
        <v>241</v>
      </c>
      <c r="D30" s="857">
        <v>34019.33</v>
      </c>
      <c r="E30" s="860">
        <f>ROUND(D30/E$3/12,2)</f>
        <v>0.3</v>
      </c>
      <c r="F30" s="260"/>
      <c r="G30" s="343"/>
    </row>
    <row r="31" spans="1:7" s="261" customFormat="1" ht="12" customHeight="1">
      <c r="A31" s="854" t="s">
        <v>494</v>
      </c>
      <c r="B31" s="861" t="s">
        <v>471</v>
      </c>
      <c r="C31" s="856" t="s">
        <v>241</v>
      </c>
      <c r="D31" s="857">
        <v>19431.44</v>
      </c>
      <c r="E31" s="858">
        <f>D31/E$3/12</f>
        <v>0.1699200044772308</v>
      </c>
      <c r="F31" s="260"/>
      <c r="G31" s="343"/>
    </row>
    <row r="32" spans="1:7" s="261" customFormat="1" ht="15.75" customHeight="1">
      <c r="A32" s="958" t="s">
        <v>340</v>
      </c>
      <c r="B32" s="959"/>
      <c r="C32" s="959"/>
      <c r="D32" s="959"/>
      <c r="E32" s="960"/>
      <c r="F32" s="260"/>
      <c r="G32" s="343"/>
    </row>
    <row r="33" spans="1:7" ht="25.5" customHeight="1">
      <c r="A33" s="854" t="s">
        <v>69</v>
      </c>
      <c r="B33" s="855" t="s">
        <v>254</v>
      </c>
      <c r="C33" s="856" t="s">
        <v>240</v>
      </c>
      <c r="D33" s="857">
        <v>5682.03</v>
      </c>
      <c r="E33" s="860">
        <f aca="true" t="shared" si="0" ref="E33:E40">ROUND(D33/E$3/12,2)</f>
        <v>0.05</v>
      </c>
      <c r="F33" s="260"/>
      <c r="G33" s="343"/>
    </row>
    <row r="34" spans="1:7" ht="11.25" customHeight="1">
      <c r="A34" s="854" t="s">
        <v>70</v>
      </c>
      <c r="B34" s="855" t="s">
        <v>473</v>
      </c>
      <c r="C34" s="856" t="s">
        <v>240</v>
      </c>
      <c r="D34" s="857">
        <v>4592</v>
      </c>
      <c r="E34" s="858">
        <f t="shared" si="0"/>
        <v>0.04</v>
      </c>
      <c r="F34" s="260"/>
      <c r="G34" s="343"/>
    </row>
    <row r="35" spans="1:7" ht="24.75" customHeight="1">
      <c r="A35" s="854" t="s">
        <v>71</v>
      </c>
      <c r="B35" s="855" t="s">
        <v>253</v>
      </c>
      <c r="C35" s="856" t="s">
        <v>240</v>
      </c>
      <c r="D35" s="857">
        <v>21293.1</v>
      </c>
      <c r="E35" s="860">
        <f t="shared" si="0"/>
        <v>0.19</v>
      </c>
      <c r="F35" s="260"/>
      <c r="G35" s="343"/>
    </row>
    <row r="36" spans="1:7" ht="24" customHeight="1">
      <c r="A36" s="854" t="s">
        <v>351</v>
      </c>
      <c r="B36" s="855" t="s">
        <v>251</v>
      </c>
      <c r="C36" s="856" t="s">
        <v>240</v>
      </c>
      <c r="D36" s="857">
        <v>44831.53</v>
      </c>
      <c r="E36" s="860">
        <f t="shared" si="0"/>
        <v>0.39</v>
      </c>
      <c r="F36" s="260"/>
      <c r="G36" s="343"/>
    </row>
    <row r="37" spans="1:7" ht="24.75" customHeight="1">
      <c r="A37" s="854" t="s">
        <v>352</v>
      </c>
      <c r="B37" s="855" t="s">
        <v>750</v>
      </c>
      <c r="C37" s="856" t="s">
        <v>240</v>
      </c>
      <c r="D37" s="857">
        <v>42662.1</v>
      </c>
      <c r="E37" s="860">
        <f t="shared" si="0"/>
        <v>0.37</v>
      </c>
      <c r="F37" s="260"/>
      <c r="G37" s="343"/>
    </row>
    <row r="38" spans="1:7" ht="12" customHeight="1">
      <c r="A38" s="854" t="s">
        <v>353</v>
      </c>
      <c r="B38" s="855" t="s">
        <v>243</v>
      </c>
      <c r="C38" s="856" t="s">
        <v>240</v>
      </c>
      <c r="D38" s="857">
        <v>13650.05</v>
      </c>
      <c r="E38" s="860">
        <f t="shared" si="0"/>
        <v>0.12</v>
      </c>
      <c r="F38" s="260"/>
      <c r="G38" s="343"/>
    </row>
    <row r="39" spans="1:7" s="261" customFormat="1" ht="11.25" customHeight="1">
      <c r="A39" s="958" t="s">
        <v>341</v>
      </c>
      <c r="B39" s="959"/>
      <c r="C39" s="959"/>
      <c r="D39" s="959"/>
      <c r="E39" s="960"/>
      <c r="F39" s="260"/>
      <c r="G39" s="343"/>
    </row>
    <row r="40" spans="1:7" s="260" customFormat="1" ht="13.5" customHeight="1">
      <c r="A40" s="854" t="s">
        <v>354</v>
      </c>
      <c r="B40" s="855" t="s">
        <v>770</v>
      </c>
      <c r="C40" s="856" t="s">
        <v>240</v>
      </c>
      <c r="D40" s="857">
        <v>13365.27</v>
      </c>
      <c r="E40" s="860">
        <f t="shared" si="0"/>
        <v>0.12</v>
      </c>
      <c r="G40" s="343"/>
    </row>
    <row r="41" spans="1:7" s="260" customFormat="1" ht="13.5" customHeight="1">
      <c r="A41" s="854" t="s">
        <v>355</v>
      </c>
      <c r="B41" s="855" t="s">
        <v>193</v>
      </c>
      <c r="C41" s="856" t="s">
        <v>518</v>
      </c>
      <c r="D41" s="857">
        <v>8504.81</v>
      </c>
      <c r="E41" s="862">
        <f>D41/E$3/12</f>
        <v>0.07437108898146495</v>
      </c>
      <c r="G41" s="343"/>
    </row>
    <row r="42" spans="1:7" s="260" customFormat="1" ht="14.25">
      <c r="A42" s="854" t="s">
        <v>356</v>
      </c>
      <c r="B42" s="855" t="s">
        <v>472</v>
      </c>
      <c r="C42" s="856" t="s">
        <v>241</v>
      </c>
      <c r="D42" s="857">
        <v>31576</v>
      </c>
      <c r="E42" s="858">
        <f>D42/E$3/12</f>
        <v>0.27611922026226776</v>
      </c>
      <c r="G42" s="343"/>
    </row>
    <row r="43" spans="1:7" s="260" customFormat="1" ht="12.75" customHeight="1">
      <c r="A43" s="854" t="s">
        <v>495</v>
      </c>
      <c r="B43" s="861" t="s">
        <v>468</v>
      </c>
      <c r="C43" s="856" t="s">
        <v>241</v>
      </c>
      <c r="D43" s="857">
        <v>14573.58</v>
      </c>
      <c r="E43" s="862">
        <f>D43/E$3/12</f>
        <v>0.12744000335792313</v>
      </c>
      <c r="G43" s="343"/>
    </row>
    <row r="44" spans="1:7" s="39" customFormat="1" ht="11.25" customHeight="1">
      <c r="A44" s="854" t="s">
        <v>357</v>
      </c>
      <c r="B44" s="855" t="s">
        <v>250</v>
      </c>
      <c r="C44" s="863"/>
      <c r="D44" s="864"/>
      <c r="E44" s="865"/>
      <c r="F44" s="353"/>
      <c r="G44" s="352"/>
    </row>
    <row r="45" spans="1:7" ht="24">
      <c r="A45" s="854" t="s">
        <v>343</v>
      </c>
      <c r="B45" s="855" t="s">
        <v>247</v>
      </c>
      <c r="C45" s="856" t="s">
        <v>315</v>
      </c>
      <c r="D45" s="857">
        <v>3208.9</v>
      </c>
      <c r="E45" s="858">
        <f aca="true" t="shared" si="1" ref="E45:E55">ROUND(D45/E$3/12,2)</f>
        <v>0.03</v>
      </c>
      <c r="F45" s="260"/>
      <c r="G45" s="343"/>
    </row>
    <row r="46" spans="1:7" ht="24" customHeight="1">
      <c r="A46" s="854" t="s">
        <v>358</v>
      </c>
      <c r="B46" s="855" t="s">
        <v>338</v>
      </c>
      <c r="C46" s="856" t="s">
        <v>242</v>
      </c>
      <c r="D46" s="857">
        <v>5000.87</v>
      </c>
      <c r="E46" s="858">
        <f t="shared" si="1"/>
        <v>0.04</v>
      </c>
      <c r="F46" s="260"/>
      <c r="G46" s="343"/>
    </row>
    <row r="47" spans="1:7" ht="24">
      <c r="A47" s="854" t="s">
        <v>359</v>
      </c>
      <c r="B47" s="855" t="s">
        <v>248</v>
      </c>
      <c r="C47" s="856" t="s">
        <v>170</v>
      </c>
      <c r="D47" s="857">
        <v>1277.47</v>
      </c>
      <c r="E47" s="858">
        <f t="shared" si="1"/>
        <v>0.01</v>
      </c>
      <c r="F47" s="260"/>
      <c r="G47" s="343"/>
    </row>
    <row r="48" spans="1:7" ht="24">
      <c r="A48" s="854" t="s">
        <v>360</v>
      </c>
      <c r="B48" s="855" t="s">
        <v>249</v>
      </c>
      <c r="C48" s="856" t="s">
        <v>170</v>
      </c>
      <c r="D48" s="857">
        <v>3333.92</v>
      </c>
      <c r="E48" s="858">
        <f t="shared" si="1"/>
        <v>0.03</v>
      </c>
      <c r="F48" s="260"/>
      <c r="G48" s="343"/>
    </row>
    <row r="49" spans="1:7" s="39" customFormat="1" ht="11.25" customHeight="1">
      <c r="A49" s="854" t="s">
        <v>361</v>
      </c>
      <c r="B49" s="866" t="s">
        <v>344</v>
      </c>
      <c r="C49" s="867"/>
      <c r="D49" s="864"/>
      <c r="E49" s="888"/>
      <c r="G49" s="352"/>
    </row>
    <row r="50" spans="1:7" s="39" customFormat="1" ht="22.5" customHeight="1">
      <c r="A50" s="854" t="s">
        <v>366</v>
      </c>
      <c r="B50" s="859" t="str">
        <f>'[1]Проф раб'!C7</f>
        <v>Очистка техэтажей от мусора со сбором его в тару и отноской в установленное место</v>
      </c>
      <c r="C50" s="856" t="s">
        <v>240</v>
      </c>
      <c r="D50" s="857">
        <v>2168</v>
      </c>
      <c r="E50" s="860">
        <f t="shared" si="1"/>
        <v>0.02</v>
      </c>
      <c r="G50" s="352"/>
    </row>
    <row r="51" spans="1:7" ht="12.75" customHeight="1">
      <c r="A51" s="854" t="s">
        <v>496</v>
      </c>
      <c r="B51" s="855" t="s">
        <v>166</v>
      </c>
      <c r="C51" s="856" t="s">
        <v>240</v>
      </c>
      <c r="D51" s="857">
        <f>профраб!I8</f>
        <v>0</v>
      </c>
      <c r="E51" s="860">
        <f t="shared" si="1"/>
        <v>0</v>
      </c>
      <c r="F51" s="260"/>
      <c r="G51" s="343"/>
    </row>
    <row r="52" spans="1:7" ht="13.5" customHeight="1">
      <c r="A52" s="854" t="s">
        <v>497</v>
      </c>
      <c r="B52" s="855" t="s">
        <v>167</v>
      </c>
      <c r="C52" s="856" t="s">
        <v>240</v>
      </c>
      <c r="D52" s="857">
        <v>2168</v>
      </c>
      <c r="E52" s="860">
        <f t="shared" si="1"/>
        <v>0.02</v>
      </c>
      <c r="F52" s="260"/>
      <c r="G52" s="343"/>
    </row>
    <row r="53" spans="1:7" ht="15" customHeight="1">
      <c r="A53" s="854" t="s">
        <v>498</v>
      </c>
      <c r="B53" s="855" t="s">
        <v>114</v>
      </c>
      <c r="C53" s="856" t="s">
        <v>241</v>
      </c>
      <c r="D53" s="857">
        <v>5488.39</v>
      </c>
      <c r="E53" s="858">
        <f t="shared" si="1"/>
        <v>0.05</v>
      </c>
      <c r="F53" s="260"/>
      <c r="G53" s="343"/>
    </row>
    <row r="54" spans="1:7" ht="13.5" customHeight="1">
      <c r="A54" s="854" t="s">
        <v>499</v>
      </c>
      <c r="B54" s="855" t="s">
        <v>119</v>
      </c>
      <c r="C54" s="856" t="s">
        <v>240</v>
      </c>
      <c r="D54" s="857">
        <v>6898.35</v>
      </c>
      <c r="E54" s="860">
        <f t="shared" si="1"/>
        <v>0.06</v>
      </c>
      <c r="F54" s="260"/>
      <c r="G54" s="343"/>
    </row>
    <row r="55" spans="1:7" ht="13.5" customHeight="1">
      <c r="A55" s="854" t="s">
        <v>500</v>
      </c>
      <c r="B55" s="855" t="s">
        <v>252</v>
      </c>
      <c r="C55" s="856" t="s">
        <v>240</v>
      </c>
      <c r="D55" s="857">
        <v>3065.93</v>
      </c>
      <c r="E55" s="860">
        <f t="shared" si="1"/>
        <v>0.03</v>
      </c>
      <c r="F55" s="260"/>
      <c r="G55" s="343"/>
    </row>
    <row r="56" spans="1:7" ht="36" customHeight="1">
      <c r="A56" s="854" t="s">
        <v>501</v>
      </c>
      <c r="B56" s="855" t="s">
        <v>749</v>
      </c>
      <c r="C56" s="856" t="s">
        <v>748</v>
      </c>
      <c r="D56" s="857">
        <v>259.7</v>
      </c>
      <c r="E56" s="860">
        <f>D56/12/9533.4</f>
        <v>0.002270089020356501</v>
      </c>
      <c r="F56" s="897"/>
      <c r="G56" s="343"/>
    </row>
    <row r="57" spans="1:7" s="261" customFormat="1" ht="11.25" customHeight="1">
      <c r="A57" s="965" t="s">
        <v>342</v>
      </c>
      <c r="B57" s="966"/>
      <c r="C57" s="966"/>
      <c r="D57" s="966"/>
      <c r="E57" s="967"/>
      <c r="F57" s="260"/>
      <c r="G57" s="343"/>
    </row>
    <row r="58" spans="1:7" s="260" customFormat="1" ht="14.25" customHeight="1">
      <c r="A58" s="854" t="s">
        <v>362</v>
      </c>
      <c r="B58" s="855" t="s">
        <v>192</v>
      </c>
      <c r="C58" s="856" t="s">
        <v>241</v>
      </c>
      <c r="D58" s="857"/>
      <c r="E58" s="860"/>
      <c r="G58" s="343"/>
    </row>
    <row r="59" spans="1:7" s="261" customFormat="1" ht="23.25" customHeight="1">
      <c r="A59" s="854" t="s">
        <v>752</v>
      </c>
      <c r="B59" s="855" t="s">
        <v>365</v>
      </c>
      <c r="C59" s="856" t="s">
        <v>255</v>
      </c>
      <c r="D59" s="857">
        <v>15930</v>
      </c>
      <c r="E59" s="860">
        <f aca="true" t="shared" si="2" ref="E58:E63">ROUND(D59/E$3/12,2)</f>
        <v>0.14</v>
      </c>
      <c r="F59" s="260"/>
      <c r="G59" s="343"/>
    </row>
    <row r="60" spans="1:7" s="261" customFormat="1" ht="10.5" customHeight="1">
      <c r="A60" s="854" t="s">
        <v>484</v>
      </c>
      <c r="B60" s="855" t="s">
        <v>476</v>
      </c>
      <c r="C60" s="856" t="s">
        <v>241</v>
      </c>
      <c r="D60" s="857">
        <v>37648.41</v>
      </c>
      <c r="E60" s="858">
        <f t="shared" si="2"/>
        <v>0.33</v>
      </c>
      <c r="F60" s="260"/>
      <c r="G60" s="343"/>
    </row>
    <row r="61" spans="1:7" s="261" customFormat="1" ht="12.75" customHeight="1">
      <c r="A61" s="868" t="s">
        <v>377</v>
      </c>
      <c r="B61" s="869" t="s">
        <v>402</v>
      </c>
      <c r="C61" s="856" t="s">
        <v>241</v>
      </c>
      <c r="D61" s="870">
        <v>238035.13</v>
      </c>
      <c r="E61" s="858">
        <f t="shared" si="2"/>
        <v>2.08</v>
      </c>
      <c r="F61" s="260"/>
      <c r="G61" s="343"/>
    </row>
    <row r="62" spans="1:7" s="261" customFormat="1" ht="12.75" customHeight="1">
      <c r="A62" s="868" t="s">
        <v>709</v>
      </c>
      <c r="B62" s="869" t="s">
        <v>403</v>
      </c>
      <c r="C62" s="856" t="s">
        <v>241</v>
      </c>
      <c r="D62" s="870">
        <v>25503.76</v>
      </c>
      <c r="E62" s="858">
        <f t="shared" si="2"/>
        <v>0.22</v>
      </c>
      <c r="F62" s="260"/>
      <c r="G62" s="343"/>
    </row>
    <row r="63" spans="1:7" s="261" customFormat="1" ht="13.5" customHeight="1">
      <c r="A63" s="868" t="s">
        <v>710</v>
      </c>
      <c r="B63" s="869" t="s">
        <v>469</v>
      </c>
      <c r="C63" s="856" t="s">
        <v>241</v>
      </c>
      <c r="D63" s="870">
        <f>'ВСЕ раб'!H33</f>
        <v>0</v>
      </c>
      <c r="E63" s="858">
        <f t="shared" si="2"/>
        <v>0</v>
      </c>
      <c r="F63" s="260"/>
      <c r="G63" s="343"/>
    </row>
    <row r="64" spans="1:7" s="261" customFormat="1" ht="13.5" customHeight="1">
      <c r="A64" s="868"/>
      <c r="B64" s="869"/>
      <c r="C64" s="900"/>
      <c r="D64" s="912">
        <v>1061442.12</v>
      </c>
      <c r="E64" s="913">
        <f>D64/12/E3</f>
        <v>9.281877708637207</v>
      </c>
      <c r="F64" s="260"/>
      <c r="G64" s="343"/>
    </row>
    <row r="65" spans="1:7" s="261" customFormat="1" ht="13.5" customHeight="1">
      <c r="A65" s="868" t="s">
        <v>756</v>
      </c>
      <c r="B65" s="869" t="s">
        <v>757</v>
      </c>
      <c r="C65" s="900"/>
      <c r="D65" s="910">
        <v>387770.93</v>
      </c>
      <c r="E65" s="911">
        <v>3.3509</v>
      </c>
      <c r="F65" s="260"/>
      <c r="G65" s="343"/>
    </row>
    <row r="66" spans="1:7" ht="15.75" customHeight="1" thickBot="1">
      <c r="A66" s="890"/>
      <c r="B66" s="895" t="s">
        <v>244</v>
      </c>
      <c r="C66" s="891"/>
      <c r="D66" s="894">
        <v>1449213.05</v>
      </c>
      <c r="E66" s="909">
        <v>12.6285</v>
      </c>
      <c r="F66" s="260"/>
      <c r="G66" s="343"/>
    </row>
    <row r="67" spans="1:5" ht="12.75">
      <c r="A67" s="257"/>
      <c r="B67" s="255"/>
      <c r="C67" s="254"/>
      <c r="D67" s="254"/>
      <c r="E67" s="853"/>
    </row>
    <row r="68" spans="1:5" ht="12.75">
      <c r="A68" s="258"/>
      <c r="D68" s="262"/>
      <c r="E68" s="914" t="s">
        <v>772</v>
      </c>
    </row>
    <row r="69" spans="4:5" ht="12.75">
      <c r="D69" s="262"/>
      <c r="E69" s="872" t="s">
        <v>773</v>
      </c>
    </row>
    <row r="70" spans="2:5" ht="12.75">
      <c r="B70" s="964"/>
      <c r="C70" s="964"/>
      <c r="E70" s="262"/>
    </row>
    <row r="71" spans="4:5" ht="12.75">
      <c r="D71" s="262"/>
      <c r="E71" s="263"/>
    </row>
    <row r="75" ht="12.75">
      <c r="E75" s="852"/>
    </row>
  </sheetData>
  <sheetProtection/>
  <mergeCells count="7">
    <mergeCell ref="A1:E1"/>
    <mergeCell ref="A14:E14"/>
    <mergeCell ref="A4:E4"/>
    <mergeCell ref="B70:C70"/>
    <mergeCell ref="A32:E32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2014-08-08T13:47:33Z</cp:lastPrinted>
  <dcterms:created xsi:type="dcterms:W3CDTF">2007-07-20T13:26:54Z</dcterms:created>
  <dcterms:modified xsi:type="dcterms:W3CDTF">2014-08-08T13:49:03Z</dcterms:modified>
  <cp:category/>
  <cp:version/>
  <cp:contentType/>
  <cp:contentStatus/>
</cp:coreProperties>
</file>